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2300_疾病感染症対策課_難病対策班\50　指定医・指定医療機関（H31.4～）\30　小児慢性指定医\台帳\R6.6\"/>
    </mc:Choice>
  </mc:AlternateContent>
  <bookViews>
    <workbookView xWindow="0" yWindow="0" windowWidth="15930" windowHeight="6540"/>
  </bookViews>
  <sheets>
    <sheet name="T2SiteiiList20240628143825428" sheetId="1" r:id="rId1"/>
  </sheets>
  <definedNames>
    <definedName name="_xlnm._FilterDatabase" localSheetId="0" hidden="1">T2SiteiiList20240628143825428!$A$1:$H$227</definedName>
  </definedNames>
  <calcPr calcId="162913"/>
</workbook>
</file>

<file path=xl/calcChain.xml><?xml version="1.0" encoding="utf-8"?>
<calcChain xmlns="http://schemas.openxmlformats.org/spreadsheetml/2006/main">
  <c r="F208" i="1" l="1"/>
  <c r="G208" i="1"/>
  <c r="E208" i="1"/>
  <c r="F69" i="1"/>
  <c r="G69" i="1"/>
  <c r="E69" i="1"/>
  <c r="G106" i="1"/>
  <c r="E106" i="1"/>
  <c r="G107" i="1"/>
  <c r="E107" i="1"/>
  <c r="G108" i="1"/>
  <c r="E108" i="1"/>
  <c r="G109" i="1"/>
  <c r="E109" i="1"/>
  <c r="G110" i="1"/>
  <c r="E110" i="1"/>
  <c r="G111" i="1"/>
  <c r="E111" i="1"/>
  <c r="G112" i="1"/>
  <c r="E112" i="1"/>
  <c r="G113" i="1"/>
  <c r="E113" i="1"/>
  <c r="G114" i="1"/>
  <c r="E114" i="1"/>
  <c r="F98" i="1"/>
  <c r="G98" i="1"/>
  <c r="E98" i="1"/>
  <c r="G66" i="1"/>
  <c r="E66" i="1"/>
  <c r="F156" i="1"/>
  <c r="G156" i="1"/>
  <c r="E156" i="1"/>
  <c r="F157" i="1"/>
  <c r="G157" i="1"/>
  <c r="E157" i="1"/>
  <c r="F158" i="1"/>
  <c r="G158" i="1"/>
  <c r="E158" i="1"/>
  <c r="F145" i="1"/>
  <c r="G145" i="1"/>
  <c r="E145" i="1"/>
  <c r="F170" i="1"/>
  <c r="G170" i="1"/>
  <c r="E170" i="1"/>
  <c r="G227" i="1"/>
  <c r="E227" i="1"/>
  <c r="G27" i="1"/>
  <c r="E27" i="1"/>
  <c r="F172" i="1"/>
  <c r="G172" i="1"/>
  <c r="E172" i="1"/>
  <c r="G53" i="1"/>
  <c r="E53" i="1"/>
  <c r="G84" i="1"/>
  <c r="E84" i="1"/>
  <c r="F41" i="1"/>
  <c r="G41" i="1"/>
  <c r="E41" i="1"/>
  <c r="F52" i="1"/>
  <c r="G52" i="1"/>
  <c r="E52" i="1"/>
  <c r="F88" i="1"/>
  <c r="G88" i="1"/>
  <c r="E88" i="1"/>
  <c r="G183" i="1"/>
  <c r="E183" i="1"/>
  <c r="G187" i="1"/>
  <c r="E187" i="1"/>
  <c r="F140" i="1"/>
  <c r="G140" i="1"/>
  <c r="E140" i="1"/>
  <c r="F218" i="1"/>
  <c r="G218" i="1"/>
  <c r="F58" i="1"/>
  <c r="G58" i="1"/>
  <c r="E58" i="1"/>
  <c r="G59" i="1"/>
  <c r="E59" i="1"/>
  <c r="F190" i="1"/>
  <c r="G190" i="1"/>
  <c r="E190" i="1"/>
  <c r="G224" i="1"/>
  <c r="E224" i="1"/>
  <c r="F213" i="1"/>
  <c r="G213" i="1"/>
  <c r="E213" i="1"/>
  <c r="F86" i="1"/>
  <c r="G86" i="1"/>
  <c r="E86" i="1"/>
  <c r="F87" i="1"/>
  <c r="G87" i="1"/>
  <c r="E87" i="1"/>
  <c r="F153" i="1"/>
  <c r="G153" i="1"/>
  <c r="E153" i="1"/>
  <c r="F61" i="1"/>
  <c r="G61" i="1"/>
  <c r="E61" i="1"/>
  <c r="G105" i="1"/>
  <c r="E105" i="1"/>
  <c r="F31" i="1"/>
  <c r="G31" i="1"/>
  <c r="E31" i="1"/>
  <c r="F72" i="1"/>
  <c r="G72" i="1"/>
  <c r="E72" i="1"/>
  <c r="G54" i="1"/>
  <c r="E54" i="1"/>
  <c r="F161" i="1"/>
  <c r="G161" i="1"/>
  <c r="E161" i="1"/>
  <c r="F193" i="1"/>
  <c r="G193" i="1"/>
  <c r="E193" i="1"/>
  <c r="F6" i="1"/>
  <c r="G6" i="1"/>
  <c r="E6" i="1"/>
  <c r="G15" i="1"/>
  <c r="E15" i="1"/>
  <c r="F7" i="1"/>
  <c r="G7" i="1"/>
  <c r="E7" i="1"/>
  <c r="F8" i="1"/>
  <c r="G8" i="1"/>
  <c r="E8" i="1"/>
  <c r="F147" i="1"/>
  <c r="G147" i="1"/>
  <c r="E147" i="1"/>
  <c r="F9" i="1"/>
  <c r="G9" i="1"/>
  <c r="E9" i="1"/>
  <c r="F10" i="1"/>
  <c r="G10" i="1"/>
  <c r="E10" i="1"/>
  <c r="F11" i="1"/>
  <c r="G11" i="1"/>
  <c r="E11" i="1"/>
  <c r="F12" i="1"/>
  <c r="G12" i="1"/>
  <c r="E12" i="1"/>
  <c r="F148" i="1"/>
  <c r="G148" i="1"/>
  <c r="E148" i="1"/>
  <c r="G49" i="1"/>
  <c r="E49" i="1"/>
  <c r="F50" i="1"/>
  <c r="G50" i="1"/>
  <c r="E50" i="1"/>
  <c r="F160" i="1"/>
  <c r="G160" i="1"/>
  <c r="E160" i="1"/>
  <c r="F64" i="1"/>
  <c r="G64" i="1"/>
  <c r="E64" i="1"/>
  <c r="F32" i="1"/>
  <c r="G32" i="1"/>
  <c r="E32" i="1"/>
  <c r="F4" i="1"/>
  <c r="G4" i="1"/>
  <c r="E4" i="1"/>
  <c r="F37" i="1"/>
  <c r="G37" i="1"/>
  <c r="E37" i="1"/>
  <c r="G3" i="1"/>
  <c r="E3" i="1"/>
  <c r="G152" i="1"/>
  <c r="E152" i="1"/>
  <c r="F73" i="1"/>
  <c r="G73" i="1"/>
  <c r="E73" i="1"/>
  <c r="F20" i="1"/>
  <c r="G20" i="1"/>
  <c r="E20" i="1"/>
  <c r="F177" i="1"/>
  <c r="G177" i="1"/>
  <c r="E177" i="1"/>
  <c r="G150" i="1"/>
  <c r="E150" i="1"/>
  <c r="F199" i="1"/>
  <c r="G199" i="1"/>
  <c r="E199" i="1"/>
  <c r="F200" i="1"/>
  <c r="G200" i="1"/>
  <c r="E200" i="1"/>
  <c r="F51" i="1"/>
  <c r="G51" i="1"/>
  <c r="E51" i="1"/>
  <c r="G19" i="1"/>
  <c r="E19" i="1"/>
  <c r="F2" i="1"/>
  <c r="G2" i="1"/>
  <c r="E2" i="1"/>
  <c r="G115" i="1"/>
  <c r="E115" i="1"/>
  <c r="G116" i="1"/>
  <c r="E116" i="1"/>
  <c r="G117" i="1"/>
  <c r="E117" i="1"/>
  <c r="G118" i="1"/>
  <c r="E118" i="1"/>
  <c r="G119" i="1"/>
  <c r="E119" i="1"/>
  <c r="G120" i="1"/>
  <c r="E120" i="1"/>
  <c r="G121" i="1"/>
  <c r="E121" i="1"/>
  <c r="G122" i="1"/>
  <c r="E122" i="1"/>
  <c r="G123" i="1"/>
  <c r="E123" i="1"/>
  <c r="F162" i="1"/>
  <c r="G162" i="1"/>
  <c r="E162" i="1"/>
  <c r="G29" i="1"/>
  <c r="E29" i="1"/>
  <c r="F195" i="1"/>
  <c r="G195" i="1"/>
  <c r="E195" i="1"/>
  <c r="G30" i="1"/>
  <c r="E30" i="1"/>
  <c r="F181" i="1"/>
  <c r="G181" i="1"/>
  <c r="E181" i="1"/>
  <c r="G179" i="1"/>
  <c r="E179" i="1"/>
  <c r="F175" i="1"/>
  <c r="G175" i="1"/>
  <c r="E175" i="1"/>
  <c r="F176" i="1"/>
  <c r="G176" i="1"/>
  <c r="E176" i="1"/>
  <c r="F220" i="1"/>
  <c r="G220" i="1"/>
  <c r="E220" i="1"/>
  <c r="G146" i="1"/>
  <c r="E146" i="1"/>
  <c r="F25" i="1"/>
  <c r="G25" i="1"/>
  <c r="E25" i="1"/>
  <c r="F211" i="1"/>
  <c r="G211" i="1"/>
  <c r="E211" i="1"/>
  <c r="F196" i="1"/>
  <c r="G196" i="1"/>
  <c r="E196" i="1"/>
  <c r="F92" i="1"/>
  <c r="G92" i="1"/>
  <c r="E92" i="1"/>
  <c r="G78" i="1"/>
  <c r="E78" i="1"/>
  <c r="G79" i="1"/>
  <c r="E79" i="1"/>
  <c r="G124" i="1"/>
  <c r="E124" i="1"/>
  <c r="F89" i="1"/>
  <c r="G89" i="1"/>
  <c r="E89" i="1"/>
  <c r="G125" i="1"/>
  <c r="E125" i="1"/>
  <c r="F155" i="1"/>
  <c r="G155" i="1"/>
  <c r="E155" i="1"/>
  <c r="F197" i="1"/>
  <c r="G197" i="1"/>
  <c r="E197" i="1"/>
  <c r="F93" i="1"/>
  <c r="G93" i="1"/>
  <c r="E93" i="1"/>
  <c r="G22" i="1"/>
  <c r="E22" i="1"/>
  <c r="G94" i="1"/>
  <c r="E94" i="1"/>
  <c r="G135" i="1"/>
  <c r="E135" i="1"/>
  <c r="F139" i="1"/>
  <c r="G139" i="1"/>
  <c r="E139" i="1"/>
  <c r="F221" i="1"/>
  <c r="G221" i="1"/>
  <c r="E221" i="1"/>
  <c r="F163" i="1"/>
  <c r="G163" i="1"/>
  <c r="E163" i="1"/>
  <c r="F34" i="1"/>
  <c r="G34" i="1"/>
  <c r="E34" i="1"/>
  <c r="F192" i="1"/>
  <c r="G192" i="1"/>
  <c r="E192" i="1"/>
  <c r="F35" i="1"/>
  <c r="G35" i="1"/>
  <c r="E35" i="1"/>
  <c r="F55" i="1"/>
  <c r="G55" i="1"/>
  <c r="E55" i="1"/>
  <c r="F23" i="1"/>
  <c r="G23" i="1"/>
  <c r="E23" i="1"/>
  <c r="F189" i="1"/>
  <c r="G189" i="1"/>
  <c r="E189" i="1"/>
  <c r="G126" i="1"/>
  <c r="E126" i="1"/>
  <c r="G188" i="1"/>
  <c r="E188" i="1"/>
  <c r="F212" i="1"/>
  <c r="G212" i="1"/>
  <c r="E212" i="1"/>
  <c r="F36" i="1"/>
  <c r="G36" i="1"/>
  <c r="E36" i="1"/>
  <c r="F198" i="1"/>
  <c r="G198" i="1"/>
  <c r="E198" i="1"/>
  <c r="F13" i="1"/>
  <c r="G13" i="1"/>
  <c r="E13" i="1"/>
  <c r="F14" i="1"/>
  <c r="G14" i="1"/>
  <c r="E14" i="1"/>
  <c r="G166" i="1"/>
  <c r="E166" i="1"/>
  <c r="G136" i="1"/>
  <c r="E136" i="1"/>
  <c r="G137" i="1"/>
  <c r="E137" i="1"/>
  <c r="F151" i="1"/>
  <c r="G151" i="1"/>
  <c r="E151" i="1"/>
  <c r="F141" i="1"/>
  <c r="G141" i="1"/>
  <c r="E141" i="1"/>
  <c r="F219" i="1"/>
  <c r="G219" i="1"/>
  <c r="E219" i="1"/>
  <c r="F201" i="1"/>
  <c r="G201" i="1"/>
  <c r="E201" i="1"/>
  <c r="G165" i="1"/>
  <c r="E165" i="1"/>
  <c r="F57" i="1"/>
  <c r="G57" i="1"/>
  <c r="E57" i="1"/>
  <c r="F67" i="1"/>
  <c r="G67" i="1"/>
  <c r="E67" i="1"/>
  <c r="G43" i="1"/>
  <c r="E43" i="1"/>
  <c r="F96" i="1"/>
  <c r="G96" i="1"/>
  <c r="E96" i="1"/>
  <c r="F185" i="1"/>
  <c r="G185" i="1"/>
  <c r="E185" i="1"/>
  <c r="F209" i="1"/>
  <c r="G209" i="1"/>
  <c r="E209" i="1"/>
  <c r="F104" i="1"/>
  <c r="G104" i="1"/>
  <c r="E104" i="1"/>
  <c r="F103" i="1"/>
  <c r="G103" i="1"/>
  <c r="E103" i="1"/>
  <c r="G127" i="1"/>
  <c r="E127" i="1"/>
  <c r="G128" i="1"/>
  <c r="E128" i="1"/>
  <c r="G75" i="1"/>
  <c r="E75" i="1"/>
  <c r="F206" i="1"/>
  <c r="G206" i="1"/>
  <c r="E206" i="1"/>
  <c r="G138" i="1"/>
  <c r="E138" i="1"/>
  <c r="G17" i="1"/>
  <c r="E17" i="1"/>
  <c r="F154" i="1"/>
  <c r="G154" i="1"/>
  <c r="E154" i="1"/>
  <c r="G44" i="1"/>
  <c r="E44" i="1"/>
  <c r="G129" i="1"/>
  <c r="E129" i="1"/>
  <c r="G149" i="1"/>
  <c r="E149" i="1"/>
  <c r="F186" i="1"/>
  <c r="G186" i="1"/>
  <c r="E186" i="1"/>
  <c r="G167" i="1"/>
  <c r="E167" i="1"/>
  <c r="G80" i="1"/>
  <c r="E80" i="1"/>
  <c r="G191" i="1"/>
  <c r="E191" i="1"/>
  <c r="F56" i="1"/>
  <c r="G56" i="1"/>
  <c r="E56" i="1"/>
  <c r="F90" i="1"/>
  <c r="G90" i="1"/>
  <c r="E90" i="1"/>
  <c r="F63" i="1"/>
  <c r="G63" i="1"/>
  <c r="E63" i="1"/>
  <c r="G45" i="1"/>
  <c r="E45" i="1"/>
  <c r="G168" i="1"/>
  <c r="E168" i="1"/>
  <c r="G130" i="1"/>
  <c r="E130" i="1"/>
  <c r="G60" i="1"/>
  <c r="E60" i="1"/>
  <c r="F5" i="1"/>
  <c r="G5" i="1"/>
  <c r="E5" i="1"/>
  <c r="F173" i="1"/>
  <c r="G173" i="1"/>
  <c r="E173" i="1"/>
  <c r="F33" i="1"/>
  <c r="G33" i="1"/>
  <c r="E33" i="1"/>
  <c r="G131" i="1"/>
  <c r="E131" i="1"/>
  <c r="F38" i="1"/>
  <c r="G38" i="1"/>
  <c r="E38" i="1"/>
  <c r="G83" i="1"/>
  <c r="E83" i="1"/>
  <c r="G132" i="1"/>
  <c r="E132" i="1"/>
  <c r="F217" i="1"/>
  <c r="G217" i="1"/>
  <c r="E217" i="1"/>
  <c r="F102" i="1"/>
  <c r="G102" i="1"/>
  <c r="E102" i="1"/>
  <c r="G46" i="1"/>
  <c r="E46" i="1"/>
  <c r="G16" i="1"/>
  <c r="E16" i="1"/>
  <c r="G62" i="1"/>
  <c r="E62" i="1"/>
  <c r="G178" i="1"/>
  <c r="E178" i="1"/>
  <c r="G205" i="1"/>
  <c r="E205" i="1"/>
  <c r="G95" i="1"/>
  <c r="E95" i="1"/>
  <c r="G133" i="1"/>
  <c r="E133" i="1"/>
  <c r="F164" i="1"/>
  <c r="G164" i="1"/>
  <c r="E164" i="1"/>
  <c r="F39" i="1"/>
  <c r="G39" i="1"/>
  <c r="E39" i="1"/>
  <c r="F74" i="1"/>
  <c r="G74" i="1"/>
  <c r="E74" i="1"/>
  <c r="F91" i="1"/>
  <c r="G91" i="1"/>
  <c r="E91" i="1"/>
  <c r="G47" i="1"/>
  <c r="E47" i="1"/>
  <c r="G169" i="1"/>
  <c r="E169" i="1"/>
  <c r="G28" i="1"/>
  <c r="E28" i="1"/>
  <c r="F142" i="1"/>
  <c r="G142" i="1"/>
  <c r="E142" i="1"/>
  <c r="F40" i="1"/>
  <c r="G40" i="1"/>
  <c r="E40" i="1"/>
  <c r="G85" i="1"/>
  <c r="E85" i="1"/>
  <c r="G194" i="1"/>
  <c r="E194" i="1"/>
  <c r="G48" i="1"/>
  <c r="E48" i="1"/>
  <c r="G210" i="1"/>
  <c r="E210" i="1"/>
  <c r="G24" i="1"/>
  <c r="E24" i="1"/>
  <c r="F97" i="1"/>
  <c r="G97" i="1"/>
  <c r="E97" i="1"/>
  <c r="F70" i="1"/>
  <c r="G70" i="1"/>
  <c r="E70" i="1"/>
  <c r="F207" i="1"/>
  <c r="G207" i="1"/>
  <c r="E207" i="1"/>
  <c r="F18" i="1"/>
  <c r="G18" i="1"/>
  <c r="E18" i="1"/>
  <c r="F174" i="1"/>
  <c r="G174" i="1"/>
  <c r="E174" i="1"/>
  <c r="G184" i="1"/>
  <c r="E184" i="1"/>
  <c r="G223" i="1"/>
  <c r="E223" i="1"/>
  <c r="G143" i="1"/>
  <c r="E143" i="1"/>
  <c r="G144" i="1"/>
  <c r="E144" i="1"/>
  <c r="G99" i="1"/>
  <c r="E99" i="1"/>
  <c r="G101" i="1"/>
  <c r="E101" i="1"/>
  <c r="F225" i="1"/>
  <c r="G225" i="1"/>
  <c r="E225" i="1"/>
  <c r="F214" i="1"/>
  <c r="G214" i="1"/>
  <c r="E214" i="1"/>
  <c r="F215" i="1"/>
  <c r="G215" i="1"/>
  <c r="E215" i="1"/>
  <c r="G26" i="1"/>
  <c r="E26" i="1"/>
  <c r="F68" i="1"/>
  <c r="G68" i="1"/>
  <c r="E68" i="1"/>
  <c r="G100" i="1"/>
  <c r="E100" i="1"/>
  <c r="F76" i="1"/>
  <c r="G76" i="1"/>
  <c r="E76" i="1"/>
  <c r="F202" i="1"/>
  <c r="G202" i="1"/>
  <c r="E202" i="1"/>
  <c r="F203" i="1"/>
  <c r="G203" i="1"/>
  <c r="E203" i="1"/>
  <c r="F204" i="1"/>
  <c r="G204" i="1"/>
  <c r="E204" i="1"/>
  <c r="F159" i="1"/>
  <c r="G159" i="1"/>
  <c r="E159" i="1"/>
  <c r="F21" i="1"/>
  <c r="G21" i="1"/>
  <c r="E21" i="1"/>
  <c r="G81" i="1"/>
  <c r="E81" i="1"/>
  <c r="G82" i="1"/>
  <c r="E82" i="1"/>
  <c r="G171" i="1"/>
  <c r="E171" i="1"/>
  <c r="F216" i="1"/>
  <c r="G216" i="1"/>
  <c r="E216" i="1"/>
  <c r="G182" i="1"/>
  <c r="E182" i="1"/>
  <c r="F65" i="1"/>
  <c r="G65" i="1"/>
  <c r="E65" i="1"/>
  <c r="F71" i="1"/>
  <c r="G71" i="1"/>
  <c r="E71" i="1"/>
  <c r="F42" i="1"/>
  <c r="G42" i="1"/>
  <c r="E42" i="1"/>
  <c r="F222" i="1"/>
  <c r="G222" i="1"/>
  <c r="E222" i="1"/>
  <c r="F226" i="1"/>
  <c r="G226" i="1"/>
  <c r="E226" i="1"/>
  <c r="G77" i="1"/>
  <c r="E77" i="1"/>
  <c r="G180" i="1"/>
  <c r="E180" i="1"/>
  <c r="G134" i="1"/>
  <c r="E134" i="1"/>
</calcChain>
</file>

<file path=xl/sharedStrings.xml><?xml version="1.0" encoding="utf-8"?>
<sst xmlns="http://schemas.openxmlformats.org/spreadsheetml/2006/main" count="1013" uniqueCount="508">
  <si>
    <t>指定医の種類</t>
  </si>
  <si>
    <t>氏名</t>
  </si>
  <si>
    <t>勤務先名称</t>
  </si>
  <si>
    <t>勤務先住所</t>
  </si>
  <si>
    <t>勤務先電話番号</t>
  </si>
  <si>
    <t>担当診療科目名</t>
  </si>
  <si>
    <t>勤務先郵便番号</t>
  </si>
  <si>
    <t>小児慢性指定指定医</t>
  </si>
  <si>
    <t>村上　和子</t>
  </si>
  <si>
    <t>あかいし台眼科</t>
  </si>
  <si>
    <t>眼科</t>
  </si>
  <si>
    <t>浅野　良弘</t>
  </si>
  <si>
    <t>あさの眼科医院</t>
  </si>
  <si>
    <t>栗原市立栗原中央病院</t>
  </si>
  <si>
    <t>消化器内科</t>
  </si>
  <si>
    <t>富永　現</t>
  </si>
  <si>
    <t>石巻赤十字病院</t>
  </si>
  <si>
    <t>石巻市蛇田字西道下71</t>
  </si>
  <si>
    <t>小児外科</t>
  </si>
  <si>
    <t>小林　道生</t>
  </si>
  <si>
    <t>救急科</t>
  </si>
  <si>
    <t>渡邉　亮</t>
  </si>
  <si>
    <t>小児科</t>
  </si>
  <si>
    <t>循環器内科</t>
  </si>
  <si>
    <t>植田　信策</t>
  </si>
  <si>
    <t>呼吸器外科</t>
  </si>
  <si>
    <t>大堀　久詔</t>
  </si>
  <si>
    <t>腫瘍内科</t>
  </si>
  <si>
    <t>市川　宏文</t>
  </si>
  <si>
    <t>外科</t>
  </si>
  <si>
    <t>小林　誠一</t>
  </si>
  <si>
    <t>呼吸器内科</t>
  </si>
  <si>
    <t>高川　真徳</t>
  </si>
  <si>
    <t>内科</t>
  </si>
  <si>
    <t>矢内　勝</t>
  </si>
  <si>
    <t>庄司　則文</t>
  </si>
  <si>
    <t>医療法人　庄司クリニック</t>
  </si>
  <si>
    <t>内科、泌尿器科</t>
  </si>
  <si>
    <t>玉懸　琢磨</t>
  </si>
  <si>
    <t>医療法人桂仁会たまがけ医院</t>
  </si>
  <si>
    <t>栗原市一迫真坂字町東　２８</t>
  </si>
  <si>
    <t>内科、胃腸科、外科、皮膚科、泌尿器科</t>
  </si>
  <si>
    <t>工藤　砂織</t>
  </si>
  <si>
    <t>医療法人社団　古川中央眼科</t>
  </si>
  <si>
    <t>工藤　仁</t>
  </si>
  <si>
    <t>菊地　玄</t>
  </si>
  <si>
    <t>河野　秀信</t>
  </si>
  <si>
    <t>医療法人社団信和会ものうファミリークリニック</t>
  </si>
  <si>
    <t>耳鼻咽喉科</t>
  </si>
  <si>
    <t>西條　孝志</t>
  </si>
  <si>
    <t>医療法人朋心会旭山病院</t>
  </si>
  <si>
    <t>精神科</t>
  </si>
  <si>
    <t>大友　弘美</t>
  </si>
  <si>
    <t>大友医院ヒロミ小児科</t>
  </si>
  <si>
    <t>亘理郡亘理町字下小路　１８ー１</t>
  </si>
  <si>
    <t>西川　仁</t>
  </si>
  <si>
    <t>かくだ耳鼻咽喉科クリニック</t>
  </si>
  <si>
    <t>角田市角田字町１９２番地</t>
  </si>
  <si>
    <t>耳鼻咽喉科，アレルギー科</t>
  </si>
  <si>
    <t>諏訪　信彦</t>
  </si>
  <si>
    <t>かしまだい中央眼科</t>
  </si>
  <si>
    <t>鹿島　哲</t>
  </si>
  <si>
    <t>かしま田園クリニック</t>
  </si>
  <si>
    <t>宮城郡七ケ浜町松ケ浜字謡　１３７ー２０</t>
  </si>
  <si>
    <t>内科、消化器科、小児科</t>
  </si>
  <si>
    <t>加藤　圭一</t>
  </si>
  <si>
    <t>かとう眼科医院</t>
  </si>
  <si>
    <t>黒川郡大和町吉岡東　２ー８ー１０</t>
  </si>
  <si>
    <t>佐藤　徹雄</t>
  </si>
  <si>
    <t>気仙沼市立病院</t>
  </si>
  <si>
    <t>齊藤　稔哲</t>
  </si>
  <si>
    <t>気仙沼市立病院附属本吉医院</t>
  </si>
  <si>
    <t>内科、精神科、小児科、外科、整形外科、内科、小児科、外科、整形外科、精神科</t>
  </si>
  <si>
    <t>伊藤　辰夫</t>
  </si>
  <si>
    <t>さくら小児科医院</t>
  </si>
  <si>
    <t>佐藤　衛</t>
  </si>
  <si>
    <t>医療法人社団豊衛会佐藤医院</t>
  </si>
  <si>
    <t>登米市豊里町横町６０</t>
  </si>
  <si>
    <t>内科、小児科、循環器内科、呼吸器内科</t>
  </si>
  <si>
    <t>宍戸　友明</t>
  </si>
  <si>
    <t>ししど内科クリニック</t>
  </si>
  <si>
    <t>東松島市赤井字南一　２２３</t>
  </si>
  <si>
    <t>内科、血液内科、リウマチ科、アレルギー科、消化器科、小児科</t>
  </si>
  <si>
    <t>土井　洋</t>
  </si>
  <si>
    <t>土井眼科クリニック</t>
  </si>
  <si>
    <t>鈴木　裕</t>
  </si>
  <si>
    <t>名取とおる内科・糖尿病クリニック</t>
  </si>
  <si>
    <t>志賀　伸之</t>
  </si>
  <si>
    <t>せせらぎ耳鼻科</t>
  </si>
  <si>
    <t>耳鼻いんこう科</t>
  </si>
  <si>
    <t>高田　修</t>
  </si>
  <si>
    <t>たかだこども医院</t>
  </si>
  <si>
    <t>宮城郡利府町沢乙東　１ー１４</t>
  </si>
  <si>
    <t>堤　和泉</t>
  </si>
  <si>
    <t>つつみ内科外科こどもクリニック</t>
  </si>
  <si>
    <t>小児科、内科</t>
  </si>
  <si>
    <t>独立行政法人国立病院機構宮城病院</t>
  </si>
  <si>
    <t>亘理郡山元町高瀬字合戦原100</t>
  </si>
  <si>
    <t>堀川　雅浩</t>
  </si>
  <si>
    <t>星　勝彦</t>
  </si>
  <si>
    <t>ひまわり内科消化器科クリニック</t>
  </si>
  <si>
    <t>内科、糖尿病内科、消化器内科</t>
  </si>
  <si>
    <t>平井　秋</t>
  </si>
  <si>
    <t>平井内科</t>
  </si>
  <si>
    <t>平井　完史</t>
  </si>
  <si>
    <t>佐竹　順一</t>
  </si>
  <si>
    <t>古川駅南耳鼻咽喉科</t>
  </si>
  <si>
    <t>みやぎ県南中核病院</t>
  </si>
  <si>
    <t>高橋　裕一</t>
  </si>
  <si>
    <t>ゆうファミリークリニック</t>
  </si>
  <si>
    <t>内科、リウマチ科、リハビリテーション科、アレルギー科</t>
  </si>
  <si>
    <t>整形外科</t>
  </si>
  <si>
    <t>木村　勤</t>
  </si>
  <si>
    <t>医療法人海邦会　鹿島記念病院</t>
  </si>
  <si>
    <t>石巻市広渕字長山１００番地</t>
  </si>
  <si>
    <t>精神科、心療内科</t>
  </si>
  <si>
    <t>板橋　俊隆</t>
  </si>
  <si>
    <t>医療法人社団さくら有鄰堂　板橋眼科医院</t>
  </si>
  <si>
    <t>日野　宏</t>
  </si>
  <si>
    <t>医療法人社団静信会日野外科内科</t>
  </si>
  <si>
    <t>外科、内科</t>
  </si>
  <si>
    <t>中山　大典</t>
  </si>
  <si>
    <t>医療法人社団中山クリニック</t>
  </si>
  <si>
    <t>宮城郡松島町磯崎字磯崎２ー８</t>
  </si>
  <si>
    <t>内科、小児科、人腎内科</t>
  </si>
  <si>
    <t>泌尿器科</t>
  </si>
  <si>
    <t>佐藤　龍行</t>
  </si>
  <si>
    <t>一般財団法人　佐藤病院</t>
  </si>
  <si>
    <t>柿崎　周平</t>
  </si>
  <si>
    <t>柿崎小児科</t>
  </si>
  <si>
    <t>糖尿病代謝科</t>
  </si>
  <si>
    <t>舩山　広幸</t>
  </si>
  <si>
    <t>公益財団法人宮城厚生協会坂総合病院</t>
  </si>
  <si>
    <t>藤本　久美子</t>
  </si>
  <si>
    <t>塩竈市錦町１６ー５</t>
  </si>
  <si>
    <t>産婦人科</t>
  </si>
  <si>
    <t>舩山　由有子</t>
  </si>
  <si>
    <t>片平　敦子</t>
  </si>
  <si>
    <t>高津　政臣</t>
  </si>
  <si>
    <t>公益財団法人宮城厚生協会坂総合クリニック</t>
  </si>
  <si>
    <t>佐藤　優子</t>
  </si>
  <si>
    <t>豊田　将夫</t>
  </si>
  <si>
    <t>丹野　仁</t>
  </si>
  <si>
    <t>渡辺　瑞香子</t>
  </si>
  <si>
    <t>佐藤　利徳</t>
  </si>
  <si>
    <t>高砂さとう耳鼻咽喉科</t>
  </si>
  <si>
    <t>菊地　淳一</t>
  </si>
  <si>
    <t>小野医院</t>
  </si>
  <si>
    <t>気仙沼市唐桑町宿浦　４０５ー８</t>
  </si>
  <si>
    <t>内科、循環器内科、小児科</t>
  </si>
  <si>
    <t>小林　直樹</t>
  </si>
  <si>
    <t>小林直樹眼科</t>
  </si>
  <si>
    <t>松浦　良樹</t>
  </si>
  <si>
    <t>まつうら内科小児科クリニック</t>
  </si>
  <si>
    <t>新海　準二</t>
  </si>
  <si>
    <t>上桜木しんがい脳神経外科</t>
  </si>
  <si>
    <t>脳神経外科、神経内科、内科、外科</t>
  </si>
  <si>
    <t>森川　貴美子</t>
  </si>
  <si>
    <t>森川こどもクリニック</t>
  </si>
  <si>
    <t>千葉　庸夫</t>
  </si>
  <si>
    <t>赤石病院</t>
  </si>
  <si>
    <t>窪田　圭一</t>
  </si>
  <si>
    <t>総合南東北病院</t>
  </si>
  <si>
    <t>脳神経外科</t>
  </si>
  <si>
    <t>袖井　文二</t>
  </si>
  <si>
    <t>袖井クリニック</t>
  </si>
  <si>
    <t>遠田郡美里町北浦字姥ケ沢　７２ー３</t>
  </si>
  <si>
    <t>形成外科、整形外科、皮膚科</t>
  </si>
  <si>
    <t>大井　知教</t>
  </si>
  <si>
    <t>大井皮膚科泌尿器科医院</t>
  </si>
  <si>
    <t>多賀城市八幡４ー３ー８</t>
  </si>
  <si>
    <t>皮膚科、泌尿器科</t>
  </si>
  <si>
    <t>大崎市民病院</t>
  </si>
  <si>
    <t>佐藤　自伸</t>
  </si>
  <si>
    <t>医療法人社団玄成会　達内科</t>
  </si>
  <si>
    <t>渡邉　広己</t>
  </si>
  <si>
    <t>渡辺眼科医院</t>
  </si>
  <si>
    <t>小出　佳代子</t>
  </si>
  <si>
    <t>小出医院</t>
  </si>
  <si>
    <t>内科、小児科</t>
  </si>
  <si>
    <t>藤野　茂</t>
  </si>
  <si>
    <t>藤野整形外科</t>
  </si>
  <si>
    <t>多賀城市大代　５ー１ー１</t>
  </si>
  <si>
    <t>富谷中央病院</t>
  </si>
  <si>
    <t>鈴木　敬</t>
  </si>
  <si>
    <t>内科、消化器内科</t>
  </si>
  <si>
    <t>工藤　啓</t>
  </si>
  <si>
    <t>内科、人工透析内科</t>
  </si>
  <si>
    <t>内科、循環器内科</t>
  </si>
  <si>
    <t>皮膚科</t>
  </si>
  <si>
    <t>武田　宜之</t>
  </si>
  <si>
    <t>武田眼科医院</t>
  </si>
  <si>
    <t>無量井　泰</t>
  </si>
  <si>
    <t>医療法人社団無量井内科クリニツク</t>
  </si>
  <si>
    <t>塩竈市東玉川町　２ー２８</t>
  </si>
  <si>
    <t>内科、リウマチ科</t>
  </si>
  <si>
    <t>髙城　利江</t>
  </si>
  <si>
    <t>髙城利江整形外科</t>
  </si>
  <si>
    <t>リウマチ科、整形外科、リハビリテーション科</t>
  </si>
  <si>
    <t>伊藤　健</t>
  </si>
  <si>
    <t>神経内科</t>
  </si>
  <si>
    <t>佐藤　馨</t>
  </si>
  <si>
    <t>乳腺外科</t>
  </si>
  <si>
    <t>篠崎　滋</t>
  </si>
  <si>
    <t>心臓血管外科</t>
  </si>
  <si>
    <t>花釜　正和</t>
  </si>
  <si>
    <t>大原　勝人</t>
  </si>
  <si>
    <t>赤羽　武弘</t>
  </si>
  <si>
    <t>海野　純</t>
  </si>
  <si>
    <t>古田　昭彦</t>
  </si>
  <si>
    <t>医療法人社団仙石病院</t>
  </si>
  <si>
    <t>玉渕　智昭</t>
  </si>
  <si>
    <t>遠藤　幸佑</t>
  </si>
  <si>
    <t>遠藤皮膚科医院</t>
  </si>
  <si>
    <t>佐藤　恒明</t>
  </si>
  <si>
    <t>医療法人社団　恒心会　佐藤医院</t>
  </si>
  <si>
    <t>刈田郡蔵王町宮字町　３６</t>
  </si>
  <si>
    <t>木村　洋子</t>
  </si>
  <si>
    <t>医療法人社団　浅野眼科医院</t>
  </si>
  <si>
    <t>佐藤　幸子</t>
  </si>
  <si>
    <t>富田　靖</t>
  </si>
  <si>
    <t>下村　明</t>
  </si>
  <si>
    <t>さぬま中央クリニック</t>
  </si>
  <si>
    <t>石澤　志信</t>
  </si>
  <si>
    <t>登米市立登米市民病院</t>
  </si>
  <si>
    <t>登米市迫町佐沼字下田中25</t>
  </si>
  <si>
    <t>太田　潤</t>
  </si>
  <si>
    <t>医療法人　健心会　おおた　おおたに　クリニック</t>
  </si>
  <si>
    <t>内科、循環器科、呼吸器科</t>
  </si>
  <si>
    <t>大谷　宏紀</t>
  </si>
  <si>
    <t>涌澤　亮介</t>
  </si>
  <si>
    <t>医療法人社団公成会　わく沢眼科医院</t>
  </si>
  <si>
    <t>佐々木　俊</t>
  </si>
  <si>
    <t>佐々木医院</t>
  </si>
  <si>
    <t>石巻市和渕字和渕町　８６</t>
  </si>
  <si>
    <t>菅野　陳一郎</t>
  </si>
  <si>
    <t>菅野眼科医院</t>
  </si>
  <si>
    <t>初貝　和明</t>
  </si>
  <si>
    <t>南三陸病院</t>
  </si>
  <si>
    <t>浅野　俊弘</t>
  </si>
  <si>
    <t>浅野眼科医院</t>
  </si>
  <si>
    <t>嶋　健太郎</t>
  </si>
  <si>
    <t>公立黒川病院</t>
  </si>
  <si>
    <t>黒川郡大和町吉岡字西桧木　６０</t>
  </si>
  <si>
    <t>筒井　美穂</t>
  </si>
  <si>
    <t>大槻　修一</t>
  </si>
  <si>
    <t>赤間　裕良</t>
  </si>
  <si>
    <t>沼田　透効</t>
  </si>
  <si>
    <t>おおがわら皮膚科クリニック</t>
  </si>
  <si>
    <t>皮膚科、アレルギー科</t>
  </si>
  <si>
    <t>石川　修一</t>
  </si>
  <si>
    <t>佐藤　良樹</t>
  </si>
  <si>
    <t>医療法人社団佐藤医院</t>
  </si>
  <si>
    <t>林　千代</t>
  </si>
  <si>
    <t>医療法人社団登和会富谷医院</t>
  </si>
  <si>
    <t>大原　朋一郎</t>
  </si>
  <si>
    <t>有馬　正貴</t>
  </si>
  <si>
    <t>医療法人社団　ありまファミリークリニック</t>
  </si>
  <si>
    <t>加美郡加美町字西町１９</t>
  </si>
  <si>
    <t>加藤　量広</t>
  </si>
  <si>
    <t>柴田郡大河原町字西38番地1</t>
  </si>
  <si>
    <t>脳神経内科</t>
  </si>
  <si>
    <t>及川　崇紀</t>
  </si>
  <si>
    <t>石巻市蛇田字西道下71番地</t>
  </si>
  <si>
    <t>池田　理一郎</t>
  </si>
  <si>
    <t>池田整形外科医院</t>
  </si>
  <si>
    <t>鈴村　幸史</t>
  </si>
  <si>
    <t>すずむら眼科</t>
  </si>
  <si>
    <t>薄井　正寛</t>
  </si>
  <si>
    <t>糖尿病、代謝内科</t>
  </si>
  <si>
    <t>荒谷　菜海</t>
  </si>
  <si>
    <t>てんかん専門病院ベーテル</t>
  </si>
  <si>
    <t>相原　彰子</t>
  </si>
  <si>
    <t>加藤小児科内科医院</t>
  </si>
  <si>
    <t>大槻　泰介</t>
  </si>
  <si>
    <t>てんかん病院ベーテル</t>
  </si>
  <si>
    <t>宮坂　芳典</t>
  </si>
  <si>
    <t>仙塩利府病院</t>
  </si>
  <si>
    <t>清宮　基彦</t>
  </si>
  <si>
    <t>清宮眼科医院</t>
  </si>
  <si>
    <t>大沼　秀行</t>
  </si>
  <si>
    <t>おおぬまクリニック</t>
  </si>
  <si>
    <t>芹澤　玄</t>
  </si>
  <si>
    <t>石巻市蛇田字西道下７１</t>
  </si>
  <si>
    <t>外科、血管外科</t>
  </si>
  <si>
    <t>岩澤　伸哉</t>
  </si>
  <si>
    <t>劉　孟林</t>
  </si>
  <si>
    <t>やもと眼科</t>
  </si>
  <si>
    <t>東松島市矢本字大溜343</t>
  </si>
  <si>
    <t>鎌田　真弓</t>
  </si>
  <si>
    <t>宮城県立がんセンター</t>
  </si>
  <si>
    <t>血液内科</t>
  </si>
  <si>
    <t>菊池　大一</t>
  </si>
  <si>
    <t>齋藤　千恵</t>
  </si>
  <si>
    <t>富谷医院</t>
  </si>
  <si>
    <t>渡部　潔</t>
  </si>
  <si>
    <t>坂総合病院</t>
  </si>
  <si>
    <t>循環器科</t>
  </si>
  <si>
    <t>渋谷　清貴</t>
  </si>
  <si>
    <t>北西　龍太</t>
  </si>
  <si>
    <t>大崎市古川穂波三丁目８番１号</t>
  </si>
  <si>
    <t>山中　多聞</t>
  </si>
  <si>
    <t>石巻市蛇田字西道下７１番地</t>
  </si>
  <si>
    <t>深瀬　耕二</t>
  </si>
  <si>
    <t>糖尿病代謝内科</t>
  </si>
  <si>
    <t>善積　信介</t>
  </si>
  <si>
    <t>よしづみ内科・糖尿病クリニック</t>
  </si>
  <si>
    <t>内科、消化器内科、糖尿病内科</t>
  </si>
  <si>
    <t>永野 功</t>
  </si>
  <si>
    <t>医療法人社団 健育会 石巻健育会病院</t>
  </si>
  <si>
    <t>内科、循環器科、リハビリテーション科、脳神経内科</t>
  </si>
  <si>
    <t>鈴木亨</t>
  </si>
  <si>
    <t>内科、糖尿病内科</t>
  </si>
  <si>
    <t>加藤　保信</t>
  </si>
  <si>
    <t>工藤　正孝</t>
  </si>
  <si>
    <t>大崎市古川穂波３丁目８番１号</t>
  </si>
  <si>
    <t>腎臓・内分泌内科</t>
  </si>
  <si>
    <t>入野　樹美</t>
  </si>
  <si>
    <t>鈴木　慎二</t>
  </si>
  <si>
    <t>まるき内科クリニック</t>
  </si>
  <si>
    <t>芳賀　貴裕</t>
  </si>
  <si>
    <t>気仙沼市赤岩杉ノ沢８番地２</t>
  </si>
  <si>
    <t>椙澤　貴志</t>
  </si>
  <si>
    <t>代謝内科、糖尿病内科</t>
  </si>
  <si>
    <t>神山　美香</t>
  </si>
  <si>
    <t>神山　クリニック</t>
  </si>
  <si>
    <t>鎌田　文顕</t>
  </si>
  <si>
    <t>医療法人恵尚会　Town Clinic en</t>
  </si>
  <si>
    <t>櫻井　忠実</t>
  </si>
  <si>
    <t>櫻井内科クリニック</t>
  </si>
  <si>
    <t>山本　康央</t>
  </si>
  <si>
    <t>いしづか内科クリニック</t>
  </si>
  <si>
    <t>中嶌　真治</t>
  </si>
  <si>
    <t>石田　雅嗣</t>
  </si>
  <si>
    <t>杉山　俊輔</t>
  </si>
  <si>
    <t>医療法人社団俊香会　杉山医院</t>
  </si>
  <si>
    <t>黒川郡大郷町羽生字中ノ町11番1</t>
  </si>
  <si>
    <t>中谷　俊彦</t>
  </si>
  <si>
    <t>中谷クリニック</t>
  </si>
  <si>
    <t>中西　史</t>
  </si>
  <si>
    <t>本郷　道夫</t>
  </si>
  <si>
    <t>塩竃市立病院</t>
  </si>
  <si>
    <t>塩竈市香津町７番１号</t>
  </si>
  <si>
    <t>内科、心療内科</t>
  </si>
  <si>
    <t>医療法人　盟陽会　富谷中央病院</t>
  </si>
  <si>
    <t>富谷市上桜木２丁目１番地６</t>
  </si>
  <si>
    <t>長井　麻衣子</t>
  </si>
  <si>
    <t>長井内科医院</t>
  </si>
  <si>
    <t>内科、呼吸器科、胃腸科、循環器科、アレルギー科、小児科</t>
  </si>
  <si>
    <t>竹本　淳</t>
  </si>
  <si>
    <t>桑名　翔大</t>
  </si>
  <si>
    <t>石巻市蛇田字西道下７1</t>
  </si>
  <si>
    <t>宮林　拓矢</t>
  </si>
  <si>
    <t>医療法人拓明会　多賀城みやばやしキッズクリニック</t>
  </si>
  <si>
    <t>多賀城市城南１丁目１１番４５号</t>
  </si>
  <si>
    <t>アレルギー科、小児科</t>
  </si>
  <si>
    <t>小川　欣一</t>
  </si>
  <si>
    <t>山本　淳平</t>
  </si>
  <si>
    <t>浅野　俊文</t>
  </si>
  <si>
    <t>白石市字柳町６１</t>
  </si>
  <si>
    <t>野村　有理</t>
  </si>
  <si>
    <t>医療法人寶樹会　仙塩利府病院</t>
  </si>
  <si>
    <t>平本　圭一郎</t>
  </si>
  <si>
    <t>齋藤　勉</t>
  </si>
  <si>
    <t>矢尾板　久雄</t>
  </si>
  <si>
    <t>星　菜美子</t>
  </si>
  <si>
    <t>宇根岡　慧</t>
  </si>
  <si>
    <t>山﨑　研志</t>
  </si>
  <si>
    <t>医療法人社団廣仁会　りふ皮膚科アレルギー科クリニック</t>
  </si>
  <si>
    <t>宮城郡利府町利府字新屋田前２２</t>
  </si>
  <si>
    <t>アレルギー科、皮膚科</t>
  </si>
  <si>
    <t>盛口　雅美</t>
  </si>
  <si>
    <t>公益財団法人宮城厚生協会　坂総合病院</t>
  </si>
  <si>
    <t>尾花　伸哉</t>
  </si>
  <si>
    <t>尾花内科クリニック</t>
  </si>
  <si>
    <t>小林　誠</t>
  </si>
  <si>
    <t>こばやしクリニック</t>
  </si>
  <si>
    <t>黒澤　靖大</t>
  </si>
  <si>
    <t>横山　直信</t>
  </si>
  <si>
    <t>芳賀　泉</t>
  </si>
  <si>
    <t>黒川郡大和町吉岡字西桧木６０</t>
  </si>
  <si>
    <t>湊川　真理</t>
  </si>
  <si>
    <t>遺伝診療センター</t>
  </si>
  <si>
    <t>中目　亜矢子</t>
  </si>
  <si>
    <t>地方独立行政法人宮城県立病院機構　宮城県立がんセンター</t>
  </si>
  <si>
    <t>頭頸部外科</t>
  </si>
  <si>
    <t>金澤　雅之</t>
  </si>
  <si>
    <t>宏人会　石巻クリニック</t>
  </si>
  <si>
    <t>星　達也</t>
  </si>
  <si>
    <t>児玉　貴之</t>
  </si>
  <si>
    <t>総合診療科</t>
  </si>
  <si>
    <t>水芦　政人</t>
  </si>
  <si>
    <t>宮城県宮城郡利府町利府字新屋田前22</t>
  </si>
  <si>
    <t>猪股　優志</t>
  </si>
  <si>
    <t>登米市迫町佐沼字下田中　２５</t>
  </si>
  <si>
    <t>佐々木　賢二</t>
  </si>
  <si>
    <t>阪本　昌樹</t>
  </si>
  <si>
    <t>柴田郡大河原町字西３８番地１</t>
  </si>
  <si>
    <t>伊藤　明</t>
  </si>
  <si>
    <t>齋藤　秀憲</t>
  </si>
  <si>
    <t>志賀　光二郎</t>
  </si>
  <si>
    <t>外科、呼吸器外科</t>
  </si>
  <si>
    <t>中川　健一郎</t>
  </si>
  <si>
    <t>内科、胃腸内科、腫瘍内科</t>
  </si>
  <si>
    <t>近藤　敬一</t>
  </si>
  <si>
    <t>糖尿病・代謝内科</t>
  </si>
  <si>
    <t>泉山　泰宏</t>
  </si>
  <si>
    <t>小野寺　啓</t>
  </si>
  <si>
    <t>佐藤　秀一</t>
  </si>
  <si>
    <t>医療法人社団　内方医院</t>
  </si>
  <si>
    <t>刈田郡蔵王町宮字町　３２</t>
  </si>
  <si>
    <t>内科、小児科、消化器科、循環器科</t>
  </si>
  <si>
    <t>永野　功</t>
  </si>
  <si>
    <t>医療法人社団健育会　石巻健育会病院</t>
  </si>
  <si>
    <t>大友　達志</t>
  </si>
  <si>
    <t>社会医療法人将道会　総合南東北病院</t>
  </si>
  <si>
    <t>しあわせの杜こどもファミリークリニック</t>
  </si>
  <si>
    <t>黒川郡大和町小野字漆１番地の１（１６Ｂ１０Ｌ）</t>
  </si>
  <si>
    <t>松田　直</t>
  </si>
  <si>
    <t>公立刈田綜合病院</t>
  </si>
  <si>
    <t>白石市福岡蔵本字下原沖３６番地</t>
  </si>
  <si>
    <t>川嶋　明香</t>
  </si>
  <si>
    <t>宮森　拓也</t>
  </si>
  <si>
    <t>富谷市明石台七丁目１番５</t>
  </si>
  <si>
    <t>研修を受けた小児慢性指定医</t>
  </si>
  <si>
    <t>有馬　恒彦</t>
  </si>
  <si>
    <t>加美郡加美町西町　１９</t>
  </si>
  <si>
    <t>猪股　健一</t>
  </si>
  <si>
    <t>いのまた眼科</t>
  </si>
  <si>
    <t>齋藤　龍彦</t>
  </si>
  <si>
    <t>中谷　理恵子</t>
  </si>
  <si>
    <t>木原　政博</t>
  </si>
  <si>
    <t>ふくちゃんクリニック</t>
  </si>
  <si>
    <t>内科、心療内科、精神科</t>
  </si>
  <si>
    <t>三浦　俊之</t>
  </si>
  <si>
    <t>みうら眼科医院</t>
  </si>
  <si>
    <t>佐藤　和生</t>
  </si>
  <si>
    <t>イオンタウン矢本内科</t>
  </si>
  <si>
    <t>東松島市小松字谷地226</t>
  </si>
  <si>
    <t>内科、消化器内科、小児科、糖尿病内科</t>
  </si>
  <si>
    <t>溝井　賢幸</t>
  </si>
  <si>
    <t>ゆりあげクリニック</t>
  </si>
  <si>
    <t>名取市美田園７丁目１７番地の３</t>
  </si>
  <si>
    <t>内科、外科、整形外科</t>
  </si>
  <si>
    <t>大石　千明</t>
  </si>
  <si>
    <t>医療法人清芳会中浦内科医院</t>
  </si>
  <si>
    <t>石巻市中浦１丁目２番１１１号</t>
  </si>
  <si>
    <t>佐藤　純</t>
  </si>
  <si>
    <t>石巻市中浦一丁目２番１１１号</t>
  </si>
  <si>
    <t>佐藤　文彦</t>
  </si>
  <si>
    <t>医療法人　清芳会　佐藤内科医院</t>
  </si>
  <si>
    <t>石巻市茜平四丁目104番地</t>
  </si>
  <si>
    <t>岸　幹夫</t>
  </si>
  <si>
    <t>駅前北きし内科クリニック</t>
  </si>
  <si>
    <t>石巻市駅前北通り１丁目１４番２１号</t>
  </si>
  <si>
    <t>菊地　匡</t>
  </si>
  <si>
    <t>菊地内科医院</t>
  </si>
  <si>
    <t>遠宮　靖雄</t>
  </si>
  <si>
    <t>臨床検査科</t>
  </si>
  <si>
    <t>佐々木　治</t>
  </si>
  <si>
    <t>高山　敦</t>
  </si>
  <si>
    <t>高山内科胃腸科医院</t>
  </si>
  <si>
    <t>角田市角田字町　２４３</t>
  </si>
  <si>
    <t>内科、胃腸科</t>
  </si>
  <si>
    <t>佐々木　厚</t>
  </si>
  <si>
    <t>佐々木内科医院</t>
  </si>
  <si>
    <t>佐藤　清壽</t>
  </si>
  <si>
    <t>平野　富男</t>
  </si>
  <si>
    <t>大衡村診療所</t>
  </si>
  <si>
    <t>渡邉　哲子</t>
  </si>
  <si>
    <t>内科、人工透析内科、循環器内科</t>
  </si>
  <si>
    <t>田口　幸生</t>
  </si>
  <si>
    <t>内科、循環器内科、呼吸器内科</t>
  </si>
  <si>
    <t>角川　智子</t>
  </si>
  <si>
    <t>冨樫　孝</t>
  </si>
  <si>
    <t>冨樫クリニック</t>
  </si>
  <si>
    <t>鈴木　啓之</t>
  </si>
  <si>
    <t>鈴木診療所</t>
  </si>
  <si>
    <t>内科、小児科、皮膚科</t>
  </si>
  <si>
    <t>横道　弘直</t>
  </si>
  <si>
    <t>角田　浩</t>
  </si>
  <si>
    <t>高畠　恭介</t>
  </si>
  <si>
    <t>大崎市民病院鹿島台分院</t>
  </si>
  <si>
    <t>大崎市鹿島台平渡東要害２０</t>
  </si>
  <si>
    <t>原崎　頼子</t>
  </si>
  <si>
    <t>田上　佑輔</t>
  </si>
  <si>
    <t>医療法人社団やまと　やまと在宅診療所登米</t>
  </si>
  <si>
    <t>登米市迫町佐沼字南元丁７２</t>
  </si>
  <si>
    <t>内科、外科、皮膚科</t>
  </si>
  <si>
    <t>宮城島　堅</t>
  </si>
  <si>
    <t>宮城島クリニック</t>
  </si>
  <si>
    <t>胃腸科、内科、外科</t>
  </si>
  <si>
    <t>佐藤　進</t>
  </si>
  <si>
    <t>佐藤進眼科</t>
  </si>
  <si>
    <t>岩本　隆志</t>
  </si>
  <si>
    <t>内科、小児科、整形外科、精神科</t>
  </si>
  <si>
    <t>佐々木　英彦</t>
  </si>
  <si>
    <t>時計台クリニック</t>
  </si>
  <si>
    <t>矢部　珠美</t>
  </si>
  <si>
    <t>医療法人社団やべ内科クリニック亘理診療所</t>
  </si>
  <si>
    <t>永沼　滋</t>
  </si>
  <si>
    <t>吉岡まほろばクリニック</t>
  </si>
  <si>
    <t>黒川郡大和町吉岡まほろば一丁目5番地の4</t>
  </si>
  <si>
    <t>内科、神経内科、消化器内科、循環器内科、呼吸器内科、人工透析内科</t>
  </si>
  <si>
    <t>三浦　拓人</t>
  </si>
  <si>
    <t>登米市迫町佐沼字下田中２５</t>
  </si>
  <si>
    <t>加納　伸介</t>
  </si>
  <si>
    <t>連番</t>
    <rPh sb="0" eb="2">
      <t>レンバン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</si>
</sst>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abSelected="1" workbookViewId="0">
      <pane ySplit="1" topLeftCell="A2" activePane="bottomLeft" state="frozen"/>
      <selection pane="bottomLeft" activeCell="D82" sqref="D82"/>
    </sheetView>
  </sheetViews>
  <sheetFormatPr defaultRowHeight="18.75" x14ac:dyDescent="0.4"/>
  <cols>
    <col min="1" max="1" width="7.25" style="1" customWidth="1"/>
    <col min="2" max="2" width="23.125" style="2" customWidth="1"/>
    <col min="3" max="3" width="14.875" style="2" customWidth="1"/>
    <col min="4" max="4" width="22.25" style="2" customWidth="1"/>
    <col min="5" max="5" width="10.375" style="2" customWidth="1"/>
    <col min="6" max="6" width="29.25" style="2" customWidth="1"/>
    <col min="7" max="7" width="14.375" style="2" customWidth="1"/>
    <col min="8" max="8" width="21.625" style="2" customWidth="1"/>
    <col min="9" max="16384" width="9" style="2"/>
  </cols>
  <sheetData>
    <row r="1" spans="1:8" s="1" customFormat="1" ht="37.5" x14ac:dyDescent="0.4">
      <c r="A1" s="3" t="s">
        <v>507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4</v>
      </c>
      <c r="H1" s="3" t="s">
        <v>5</v>
      </c>
    </row>
    <row r="2" spans="1:8" ht="37.5" x14ac:dyDescent="0.4">
      <c r="A2" s="4">
        <v>1</v>
      </c>
      <c r="B2" s="5" t="s">
        <v>7</v>
      </c>
      <c r="C2" s="5" t="s">
        <v>196</v>
      </c>
      <c r="D2" s="5" t="s">
        <v>197</v>
      </c>
      <c r="E2" s="5" t="str">
        <f>"987-0004"</f>
        <v>987-0004</v>
      </c>
      <c r="F2" s="5" t="str">
        <f>"遠田郡美里町牛飼字牛飼１３９－１"</f>
        <v>遠田郡美里町牛飼字牛飼１３９－１</v>
      </c>
      <c r="G2" s="5" t="str">
        <f>"0229-31-1230  "</f>
        <v xml:space="preserve">0229-31-1230  </v>
      </c>
      <c r="H2" s="5" t="s">
        <v>198</v>
      </c>
    </row>
    <row r="3" spans="1:8" ht="37.5" x14ac:dyDescent="0.4">
      <c r="A3" s="4">
        <v>2</v>
      </c>
      <c r="B3" s="5" t="s">
        <v>7</v>
      </c>
      <c r="C3" s="5" t="s">
        <v>164</v>
      </c>
      <c r="D3" s="5" t="s">
        <v>165</v>
      </c>
      <c r="E3" s="5" t="str">
        <f>"987-0005"</f>
        <v>987-0005</v>
      </c>
      <c r="F3" s="5" t="s">
        <v>166</v>
      </c>
      <c r="G3" s="5" t="str">
        <f>"0229-31-1188  "</f>
        <v xml:space="preserve">0229-31-1188  </v>
      </c>
      <c r="H3" s="5" t="s">
        <v>167</v>
      </c>
    </row>
    <row r="4" spans="1:8" x14ac:dyDescent="0.4">
      <c r="A4" s="4">
        <v>3</v>
      </c>
      <c r="B4" s="5" t="s">
        <v>7</v>
      </c>
      <c r="C4" s="5" t="s">
        <v>159</v>
      </c>
      <c r="D4" s="5" t="s">
        <v>160</v>
      </c>
      <c r="E4" s="5" t="str">
        <f>"985-0023"</f>
        <v>985-0023</v>
      </c>
      <c r="F4" s="5" t="str">
        <f>"塩竈市花立町２２－４２"</f>
        <v>塩竈市花立町２２－４２</v>
      </c>
      <c r="G4" s="5" t="str">
        <f>"022-362-8131  "</f>
        <v xml:space="preserve">022-362-8131  </v>
      </c>
      <c r="H4" s="5" t="s">
        <v>18</v>
      </c>
    </row>
    <row r="5" spans="1:8" ht="37.5" x14ac:dyDescent="0.4">
      <c r="A5" s="4">
        <v>4</v>
      </c>
      <c r="B5" s="5" t="s">
        <v>7</v>
      </c>
      <c r="C5" s="5" t="s">
        <v>371</v>
      </c>
      <c r="D5" s="5" t="s">
        <v>372</v>
      </c>
      <c r="E5" s="5" t="str">
        <f t="shared" ref="E5:E12" si="0">"985-0024"</f>
        <v>985-0024</v>
      </c>
      <c r="F5" s="5" t="str">
        <f t="shared" ref="F5:F12" si="1">"塩竈市錦町１６－５"</f>
        <v>塩竈市錦町１６－５</v>
      </c>
      <c r="G5" s="5" t="str">
        <f t="shared" ref="G5:G16" si="2">"022-365-5175  "</f>
        <v xml:space="preserve">022-365-5175  </v>
      </c>
      <c r="H5" s="5" t="s">
        <v>130</v>
      </c>
    </row>
    <row r="6" spans="1:8" ht="37.5" x14ac:dyDescent="0.4">
      <c r="A6" s="4">
        <v>5</v>
      </c>
      <c r="B6" s="5" t="s">
        <v>7</v>
      </c>
      <c r="C6" s="5" t="s">
        <v>131</v>
      </c>
      <c r="D6" s="5" t="s">
        <v>132</v>
      </c>
      <c r="E6" s="5" t="str">
        <f t="shared" si="0"/>
        <v>985-0024</v>
      </c>
      <c r="F6" s="5" t="str">
        <f t="shared" si="1"/>
        <v>塩竈市錦町１６－５</v>
      </c>
      <c r="G6" s="5" t="str">
        <f t="shared" si="2"/>
        <v xml:space="preserve">022-365-5175  </v>
      </c>
      <c r="H6" s="5" t="s">
        <v>14</v>
      </c>
    </row>
    <row r="7" spans="1:8" ht="37.5" x14ac:dyDescent="0.4">
      <c r="A7" s="4">
        <v>6</v>
      </c>
      <c r="B7" s="5" t="s">
        <v>7</v>
      </c>
      <c r="C7" s="5" t="s">
        <v>136</v>
      </c>
      <c r="D7" s="5" t="s">
        <v>132</v>
      </c>
      <c r="E7" s="5" t="str">
        <f t="shared" si="0"/>
        <v>985-0024</v>
      </c>
      <c r="F7" s="5" t="str">
        <f t="shared" si="1"/>
        <v>塩竈市錦町１６－５</v>
      </c>
      <c r="G7" s="5" t="str">
        <f t="shared" si="2"/>
        <v xml:space="preserve">022-365-5175  </v>
      </c>
      <c r="H7" s="5" t="s">
        <v>135</v>
      </c>
    </row>
    <row r="8" spans="1:8" ht="37.5" x14ac:dyDescent="0.4">
      <c r="A8" s="4">
        <v>7</v>
      </c>
      <c r="B8" s="5" t="s">
        <v>7</v>
      </c>
      <c r="C8" s="5" t="s">
        <v>137</v>
      </c>
      <c r="D8" s="5" t="s">
        <v>132</v>
      </c>
      <c r="E8" s="5" t="str">
        <f t="shared" si="0"/>
        <v>985-0024</v>
      </c>
      <c r="F8" s="5" t="str">
        <f t="shared" si="1"/>
        <v>塩竈市錦町１６－５</v>
      </c>
      <c r="G8" s="5" t="str">
        <f t="shared" si="2"/>
        <v xml:space="preserve">022-365-5175  </v>
      </c>
      <c r="H8" s="5" t="s">
        <v>135</v>
      </c>
    </row>
    <row r="9" spans="1:8" ht="37.5" x14ac:dyDescent="0.4">
      <c r="A9" s="4">
        <v>8</v>
      </c>
      <c r="B9" s="5" t="s">
        <v>7</v>
      </c>
      <c r="C9" s="5" t="s">
        <v>140</v>
      </c>
      <c r="D9" s="5" t="s">
        <v>132</v>
      </c>
      <c r="E9" s="5" t="str">
        <f t="shared" si="0"/>
        <v>985-0024</v>
      </c>
      <c r="F9" s="5" t="str">
        <f t="shared" si="1"/>
        <v>塩竈市錦町１６－５</v>
      </c>
      <c r="G9" s="5" t="str">
        <f t="shared" si="2"/>
        <v xml:space="preserve">022-365-5175  </v>
      </c>
      <c r="H9" s="5" t="s">
        <v>22</v>
      </c>
    </row>
    <row r="10" spans="1:8" ht="37.5" x14ac:dyDescent="0.4">
      <c r="A10" s="4">
        <v>9</v>
      </c>
      <c r="B10" s="5" t="s">
        <v>7</v>
      </c>
      <c r="C10" s="5" t="s">
        <v>141</v>
      </c>
      <c r="D10" s="5" t="s">
        <v>132</v>
      </c>
      <c r="E10" s="5" t="str">
        <f t="shared" si="0"/>
        <v>985-0024</v>
      </c>
      <c r="F10" s="5" t="str">
        <f t="shared" si="1"/>
        <v>塩竈市錦町１６－５</v>
      </c>
      <c r="G10" s="5" t="str">
        <f t="shared" si="2"/>
        <v xml:space="preserve">022-365-5175  </v>
      </c>
      <c r="H10" s="5" t="s">
        <v>22</v>
      </c>
    </row>
    <row r="11" spans="1:8" ht="37.5" x14ac:dyDescent="0.4">
      <c r="A11" s="4">
        <v>10</v>
      </c>
      <c r="B11" s="5" t="s">
        <v>7</v>
      </c>
      <c r="C11" s="5" t="s">
        <v>142</v>
      </c>
      <c r="D11" s="5" t="s">
        <v>132</v>
      </c>
      <c r="E11" s="5" t="str">
        <f t="shared" si="0"/>
        <v>985-0024</v>
      </c>
      <c r="F11" s="5" t="str">
        <f t="shared" si="1"/>
        <v>塩竈市錦町１６－５</v>
      </c>
      <c r="G11" s="5" t="str">
        <f t="shared" si="2"/>
        <v xml:space="preserve">022-365-5175  </v>
      </c>
      <c r="H11" s="5" t="s">
        <v>22</v>
      </c>
    </row>
    <row r="12" spans="1:8" ht="37.5" x14ac:dyDescent="0.4">
      <c r="A12" s="4">
        <v>11</v>
      </c>
      <c r="B12" s="5" t="s">
        <v>7</v>
      </c>
      <c r="C12" s="5" t="s">
        <v>143</v>
      </c>
      <c r="D12" s="5" t="s">
        <v>132</v>
      </c>
      <c r="E12" s="5" t="str">
        <f t="shared" si="0"/>
        <v>985-0024</v>
      </c>
      <c r="F12" s="5" t="str">
        <f t="shared" si="1"/>
        <v>塩竈市錦町１６－５</v>
      </c>
      <c r="G12" s="5" t="str">
        <f t="shared" si="2"/>
        <v xml:space="preserve">022-365-5175  </v>
      </c>
      <c r="H12" s="5" t="s">
        <v>22</v>
      </c>
    </row>
    <row r="13" spans="1:8" x14ac:dyDescent="0.4">
      <c r="A13" s="4">
        <v>12</v>
      </c>
      <c r="B13" s="5" t="s">
        <v>7</v>
      </c>
      <c r="C13" s="5" t="s">
        <v>295</v>
      </c>
      <c r="D13" s="5" t="s">
        <v>296</v>
      </c>
      <c r="E13" s="5" t="str">
        <f>"985-8506"</f>
        <v>985-8506</v>
      </c>
      <c r="F13" s="5" t="str">
        <f>"塩竈市錦町16-5"</f>
        <v>塩竈市錦町16-5</v>
      </c>
      <c r="G13" s="5" t="str">
        <f t="shared" si="2"/>
        <v xml:space="preserve">022-365-5175  </v>
      </c>
      <c r="H13" s="5" t="s">
        <v>297</v>
      </c>
    </row>
    <row r="14" spans="1:8" x14ac:dyDescent="0.4">
      <c r="A14" s="4">
        <v>13</v>
      </c>
      <c r="B14" s="5" t="s">
        <v>7</v>
      </c>
      <c r="C14" s="5" t="s">
        <v>298</v>
      </c>
      <c r="D14" s="5" t="s">
        <v>296</v>
      </c>
      <c r="E14" s="5" t="str">
        <f>"985-8506"</f>
        <v>985-8506</v>
      </c>
      <c r="F14" s="5" t="str">
        <f>"塩竈市錦町16-5"</f>
        <v>塩竈市錦町16-5</v>
      </c>
      <c r="G14" s="5" t="str">
        <f t="shared" si="2"/>
        <v xml:space="preserve">022-365-5175  </v>
      </c>
      <c r="H14" s="5" t="s">
        <v>297</v>
      </c>
    </row>
    <row r="15" spans="1:8" ht="37.5" x14ac:dyDescent="0.4">
      <c r="A15" s="4">
        <v>14</v>
      </c>
      <c r="B15" s="5" t="s">
        <v>7</v>
      </c>
      <c r="C15" s="5" t="s">
        <v>133</v>
      </c>
      <c r="D15" s="5" t="s">
        <v>132</v>
      </c>
      <c r="E15" s="5" t="str">
        <f>"985-8506"</f>
        <v>985-8506</v>
      </c>
      <c r="F15" s="5" t="s">
        <v>134</v>
      </c>
      <c r="G15" s="5" t="str">
        <f t="shared" si="2"/>
        <v xml:space="preserve">022-365-5175  </v>
      </c>
      <c r="H15" s="5" t="s">
        <v>135</v>
      </c>
    </row>
    <row r="16" spans="1:8" ht="37.5" x14ac:dyDescent="0.4">
      <c r="A16" s="4">
        <v>15</v>
      </c>
      <c r="B16" s="5" t="s">
        <v>7</v>
      </c>
      <c r="C16" s="5" t="s">
        <v>389</v>
      </c>
      <c r="D16" s="5" t="s">
        <v>132</v>
      </c>
      <c r="E16" s="5" t="str">
        <f>"985-8506"</f>
        <v>985-8506</v>
      </c>
      <c r="F16" s="5" t="s">
        <v>134</v>
      </c>
      <c r="G16" s="5" t="str">
        <f t="shared" si="2"/>
        <v xml:space="preserve">022-365-5175  </v>
      </c>
      <c r="H16" s="5" t="s">
        <v>390</v>
      </c>
    </row>
    <row r="17" spans="1:8" x14ac:dyDescent="0.4">
      <c r="A17" s="4">
        <v>16</v>
      </c>
      <c r="B17" s="5" t="s">
        <v>7</v>
      </c>
      <c r="C17" s="5" t="s">
        <v>340</v>
      </c>
      <c r="D17" s="5" t="s">
        <v>341</v>
      </c>
      <c r="E17" s="5" t="str">
        <f>"985-0054"</f>
        <v>985-0054</v>
      </c>
      <c r="F17" s="5" t="s">
        <v>342</v>
      </c>
      <c r="G17" s="5" t="str">
        <f>"022-364-5521  "</f>
        <v xml:space="preserve">022-364-5521  </v>
      </c>
      <c r="H17" s="5" t="s">
        <v>343</v>
      </c>
    </row>
    <row r="18" spans="1:8" ht="37.5" x14ac:dyDescent="0.4">
      <c r="A18" s="4">
        <v>17</v>
      </c>
      <c r="B18" s="5" t="s">
        <v>424</v>
      </c>
      <c r="C18" s="5" t="s">
        <v>431</v>
      </c>
      <c r="D18" s="5" t="s">
        <v>432</v>
      </c>
      <c r="E18" s="5" t="str">
        <f>"985-0062"</f>
        <v>985-0062</v>
      </c>
      <c r="F18" s="5" t="str">
        <f>"塩竈市泉沢町２０－１０－１F"</f>
        <v>塩竈市泉沢町２０－１０－１F</v>
      </c>
      <c r="G18" s="5" t="str">
        <f>"022-365-2238  "</f>
        <v xml:space="preserve">022-365-2238  </v>
      </c>
      <c r="H18" s="5" t="s">
        <v>433</v>
      </c>
    </row>
    <row r="19" spans="1:8" ht="37.5" x14ac:dyDescent="0.4">
      <c r="A19" s="4">
        <v>18</v>
      </c>
      <c r="B19" s="5" t="s">
        <v>7</v>
      </c>
      <c r="C19" s="5" t="s">
        <v>192</v>
      </c>
      <c r="D19" s="5" t="s">
        <v>193</v>
      </c>
      <c r="E19" s="5" t="str">
        <f>"985-0036"</f>
        <v>985-0036</v>
      </c>
      <c r="F19" s="5" t="s">
        <v>194</v>
      </c>
      <c r="G19" s="5" t="str">
        <f>"022-361-3577  "</f>
        <v xml:space="preserve">022-361-3577  </v>
      </c>
      <c r="H19" s="5" t="s">
        <v>195</v>
      </c>
    </row>
    <row r="20" spans="1:8" x14ac:dyDescent="0.4">
      <c r="A20" s="4">
        <v>19</v>
      </c>
      <c r="B20" s="5" t="s">
        <v>7</v>
      </c>
      <c r="C20" s="5" t="s">
        <v>175</v>
      </c>
      <c r="D20" s="5" t="s">
        <v>176</v>
      </c>
      <c r="E20" s="5" t="str">
        <f>"985-0021"</f>
        <v>985-0021</v>
      </c>
      <c r="F20" s="5" t="str">
        <f>"塩竈市尾島町6-3"</f>
        <v>塩竈市尾島町6-3</v>
      </c>
      <c r="G20" s="5" t="str">
        <f>"022-362-8784  "</f>
        <v xml:space="preserve">022-362-8784  </v>
      </c>
      <c r="H20" s="5" t="s">
        <v>10</v>
      </c>
    </row>
    <row r="21" spans="1:8" ht="37.5" x14ac:dyDescent="0.4">
      <c r="A21" s="4">
        <v>20</v>
      </c>
      <c r="B21" s="5" t="s">
        <v>424</v>
      </c>
      <c r="C21" s="5" t="s">
        <v>476</v>
      </c>
      <c r="D21" s="5" t="s">
        <v>477</v>
      </c>
      <c r="E21" s="5" t="str">
        <f>"981-4401"</f>
        <v>981-4401</v>
      </c>
      <c r="F21" s="5" t="str">
        <f>"加美郡加美町宮崎字屋敷五番２１－２"</f>
        <v>加美郡加美町宮崎字屋敷五番２１－２</v>
      </c>
      <c r="G21" s="5" t="str">
        <f>"0229-68-2121  "</f>
        <v xml:space="preserve">0229-68-2121  </v>
      </c>
      <c r="H21" s="5" t="s">
        <v>478</v>
      </c>
    </row>
    <row r="22" spans="1:8" ht="37.5" x14ac:dyDescent="0.4">
      <c r="A22" s="4">
        <v>21</v>
      </c>
      <c r="B22" s="5" t="s">
        <v>7</v>
      </c>
      <c r="C22" s="5" t="s">
        <v>256</v>
      </c>
      <c r="D22" s="5" t="s">
        <v>257</v>
      </c>
      <c r="E22" s="5" t="str">
        <f>"981-4251"</f>
        <v>981-4251</v>
      </c>
      <c r="F22" s="5" t="s">
        <v>258</v>
      </c>
      <c r="G22" s="5" t="str">
        <f>"0229-63-2230  "</f>
        <v xml:space="preserve">0229-63-2230  </v>
      </c>
      <c r="H22" s="5" t="s">
        <v>22</v>
      </c>
    </row>
    <row r="23" spans="1:8" x14ac:dyDescent="0.4">
      <c r="A23" s="4">
        <v>22</v>
      </c>
      <c r="B23" s="5" t="s">
        <v>7</v>
      </c>
      <c r="C23" s="5" t="s">
        <v>278</v>
      </c>
      <c r="D23" s="5" t="s">
        <v>279</v>
      </c>
      <c r="E23" s="5" t="str">
        <f>"981-4253"</f>
        <v>981-4253</v>
      </c>
      <c r="F23" s="5" t="str">
        <f>"加美郡加美町字大門50-1"</f>
        <v>加美郡加美町字大門50-1</v>
      </c>
      <c r="G23" s="5" t="str">
        <f>"0229-87-4780  "</f>
        <v xml:space="preserve">0229-87-4780  </v>
      </c>
      <c r="H23" s="5" t="s">
        <v>10</v>
      </c>
    </row>
    <row r="24" spans="1:8" ht="37.5" x14ac:dyDescent="0.4">
      <c r="A24" s="4">
        <v>23</v>
      </c>
      <c r="B24" s="5" t="s">
        <v>424</v>
      </c>
      <c r="C24" s="5" t="s">
        <v>425</v>
      </c>
      <c r="D24" s="5" t="s">
        <v>257</v>
      </c>
      <c r="E24" s="5" t="str">
        <f>"981-4251"</f>
        <v>981-4251</v>
      </c>
      <c r="F24" s="5" t="s">
        <v>426</v>
      </c>
      <c r="G24" s="5" t="str">
        <f>"0229-63-2230  "</f>
        <v xml:space="preserve">0229-63-2230  </v>
      </c>
      <c r="H24" s="5" t="s">
        <v>179</v>
      </c>
    </row>
    <row r="25" spans="1:8" x14ac:dyDescent="0.4">
      <c r="A25" s="4">
        <v>24</v>
      </c>
      <c r="B25" s="5" t="s">
        <v>7</v>
      </c>
      <c r="C25" s="5" t="s">
        <v>235</v>
      </c>
      <c r="D25" s="5" t="s">
        <v>236</v>
      </c>
      <c r="E25" s="5" t="str">
        <f>"981-4231"</f>
        <v>981-4231</v>
      </c>
      <c r="F25" s="5" t="str">
        <f>"加美郡加美町百目木1-23-2"</f>
        <v>加美郡加美町百目木1-23-2</v>
      </c>
      <c r="G25" s="5" t="str">
        <f>"0229-63-3270  "</f>
        <v xml:space="preserve">0229-63-3270  </v>
      </c>
      <c r="H25" s="5" t="s">
        <v>10</v>
      </c>
    </row>
    <row r="26" spans="1:8" ht="37.5" x14ac:dyDescent="0.4">
      <c r="A26" s="4">
        <v>25</v>
      </c>
      <c r="B26" s="5" t="s">
        <v>424</v>
      </c>
      <c r="C26" s="5" t="s">
        <v>460</v>
      </c>
      <c r="D26" s="5" t="s">
        <v>461</v>
      </c>
      <c r="E26" s="5" t="str">
        <f>"981-1505"</f>
        <v>981-1505</v>
      </c>
      <c r="F26" s="5" t="s">
        <v>462</v>
      </c>
      <c r="G26" s="5" t="str">
        <f>"0224-63-2304  "</f>
        <v xml:space="preserve">0224-63-2304  </v>
      </c>
      <c r="H26" s="5" t="s">
        <v>463</v>
      </c>
    </row>
    <row r="27" spans="1:8" ht="37.5" x14ac:dyDescent="0.4">
      <c r="A27" s="4">
        <v>26</v>
      </c>
      <c r="B27" s="5" t="s">
        <v>7</v>
      </c>
      <c r="C27" s="5" t="s">
        <v>55</v>
      </c>
      <c r="D27" s="5" t="s">
        <v>56</v>
      </c>
      <c r="E27" s="5" t="str">
        <f>"981-1505"</f>
        <v>981-1505</v>
      </c>
      <c r="F27" s="5" t="s">
        <v>57</v>
      </c>
      <c r="G27" s="5" t="str">
        <f>"0224-86-4138  "</f>
        <v xml:space="preserve">0224-86-4138  </v>
      </c>
      <c r="H27" s="5" t="s">
        <v>58</v>
      </c>
    </row>
    <row r="28" spans="1:8" ht="37.5" x14ac:dyDescent="0.4">
      <c r="A28" s="4">
        <v>27</v>
      </c>
      <c r="B28" s="5" t="s">
        <v>7</v>
      </c>
      <c r="C28" s="5" t="s">
        <v>408</v>
      </c>
      <c r="D28" s="5" t="s">
        <v>409</v>
      </c>
      <c r="E28" s="5" t="str">
        <f>"989-0701"</f>
        <v>989-0701</v>
      </c>
      <c r="F28" s="5" t="s">
        <v>410</v>
      </c>
      <c r="G28" s="5" t="str">
        <f>"0224-32-2101  "</f>
        <v xml:space="preserve">0224-32-2101  </v>
      </c>
      <c r="H28" s="5" t="s">
        <v>411</v>
      </c>
    </row>
    <row r="29" spans="1:8" ht="37.5" x14ac:dyDescent="0.4">
      <c r="A29" s="4">
        <v>28</v>
      </c>
      <c r="B29" s="5" t="s">
        <v>7</v>
      </c>
      <c r="C29" s="5" t="s">
        <v>214</v>
      </c>
      <c r="D29" s="5" t="s">
        <v>215</v>
      </c>
      <c r="E29" s="5" t="str">
        <f>"989-0701"</f>
        <v>989-0701</v>
      </c>
      <c r="F29" s="5" t="s">
        <v>216</v>
      </c>
      <c r="G29" s="5" t="str">
        <f>"0224-32-2002  "</f>
        <v xml:space="preserve">0224-32-2002  </v>
      </c>
      <c r="H29" s="5" t="s">
        <v>179</v>
      </c>
    </row>
    <row r="30" spans="1:8" ht="37.5" x14ac:dyDescent="0.4">
      <c r="A30" s="4">
        <v>29</v>
      </c>
      <c r="B30" s="5" t="s">
        <v>7</v>
      </c>
      <c r="C30" s="5" t="s">
        <v>219</v>
      </c>
      <c r="D30" s="5" t="s">
        <v>215</v>
      </c>
      <c r="E30" s="5" t="str">
        <f>"989-0701"</f>
        <v>989-0701</v>
      </c>
      <c r="F30" s="5" t="s">
        <v>216</v>
      </c>
      <c r="G30" s="5" t="str">
        <f>"0224-32-2002  "</f>
        <v xml:space="preserve">0224-32-2002  </v>
      </c>
      <c r="H30" s="5" t="s">
        <v>189</v>
      </c>
    </row>
    <row r="31" spans="1:8" ht="37.5" x14ac:dyDescent="0.4">
      <c r="A31" s="4">
        <v>30</v>
      </c>
      <c r="B31" s="5" t="s">
        <v>7</v>
      </c>
      <c r="C31" s="5" t="s">
        <v>116</v>
      </c>
      <c r="D31" s="5" t="s">
        <v>117</v>
      </c>
      <c r="E31" s="5" t="str">
        <f>"989-2433"</f>
        <v>989-2433</v>
      </c>
      <c r="F31" s="5" t="str">
        <f>"岩沼市桜　４－６－１６"</f>
        <v>岩沼市桜　４－６－１６</v>
      </c>
      <c r="G31" s="5" t="str">
        <f>"0223-22-2611  "</f>
        <v xml:space="preserve">0223-22-2611  </v>
      </c>
      <c r="H31" s="5" t="s">
        <v>10</v>
      </c>
    </row>
    <row r="32" spans="1:8" x14ac:dyDescent="0.4">
      <c r="A32" s="4">
        <v>31</v>
      </c>
      <c r="B32" s="5" t="s">
        <v>7</v>
      </c>
      <c r="C32" s="5" t="s">
        <v>157</v>
      </c>
      <c r="D32" s="5" t="s">
        <v>158</v>
      </c>
      <c r="E32" s="5" t="str">
        <f>"989-2451"</f>
        <v>989-2451</v>
      </c>
      <c r="F32" s="5" t="str">
        <f>"岩沼市土ケ崎　４－１－１２"</f>
        <v>岩沼市土ケ崎　４－１－１２</v>
      </c>
      <c r="G32" s="5" t="str">
        <f>"0223-25-2711  "</f>
        <v xml:space="preserve">0223-25-2711  </v>
      </c>
      <c r="H32" s="5" t="s">
        <v>22</v>
      </c>
    </row>
    <row r="33" spans="1:8" x14ac:dyDescent="0.4">
      <c r="A33" s="4">
        <v>32</v>
      </c>
      <c r="B33" s="5" t="s">
        <v>7</v>
      </c>
      <c r="C33" s="5" t="s">
        <v>375</v>
      </c>
      <c r="D33" s="5" t="s">
        <v>376</v>
      </c>
      <c r="E33" s="5" t="str">
        <f>"989-2451"</f>
        <v>989-2451</v>
      </c>
      <c r="F33" s="5" t="str">
        <f>"岩沼市土ケ崎2-3-10"</f>
        <v>岩沼市土ケ崎2-3-10</v>
      </c>
      <c r="G33" s="5" t="str">
        <f>"0223-23-0170  "</f>
        <v xml:space="preserve">0223-23-0170  </v>
      </c>
      <c r="H33" s="5" t="s">
        <v>31</v>
      </c>
    </row>
    <row r="34" spans="1:8" ht="37.5" x14ac:dyDescent="0.4">
      <c r="A34" s="4">
        <v>33</v>
      </c>
      <c r="B34" s="5" t="s">
        <v>7</v>
      </c>
      <c r="C34" s="5" t="s">
        <v>270</v>
      </c>
      <c r="D34" s="5" t="s">
        <v>271</v>
      </c>
      <c r="E34" s="5" t="str">
        <f>"989-2455"</f>
        <v>989-2455</v>
      </c>
      <c r="F34" s="5" t="str">
        <f>"岩沼市北長谷字畑向山南27-4"</f>
        <v>岩沼市北長谷字畑向山南27-4</v>
      </c>
      <c r="G34" s="5" t="str">
        <f>"0223-24-1211  "</f>
        <v xml:space="preserve">0223-24-1211  </v>
      </c>
      <c r="H34" s="5" t="s">
        <v>22</v>
      </c>
    </row>
    <row r="35" spans="1:8" x14ac:dyDescent="0.4">
      <c r="A35" s="4">
        <v>34</v>
      </c>
      <c r="B35" s="5" t="s">
        <v>7</v>
      </c>
      <c r="C35" s="5" t="s">
        <v>274</v>
      </c>
      <c r="D35" s="5" t="s">
        <v>275</v>
      </c>
      <c r="E35" s="5" t="str">
        <f>"989-2455"</f>
        <v>989-2455</v>
      </c>
      <c r="F35" s="5" t="str">
        <f>"岩沼市北長谷字畑向山南27-4"</f>
        <v>岩沼市北長谷字畑向山南27-4</v>
      </c>
      <c r="G35" s="5" t="str">
        <f>"0223-24-1211  "</f>
        <v xml:space="preserve">0223-24-1211  </v>
      </c>
      <c r="H35" s="5" t="s">
        <v>200</v>
      </c>
    </row>
    <row r="36" spans="1:8" x14ac:dyDescent="0.4">
      <c r="A36" s="4">
        <v>35</v>
      </c>
      <c r="B36" s="5" t="s">
        <v>7</v>
      </c>
      <c r="C36" s="5" t="s">
        <v>292</v>
      </c>
      <c r="D36" s="5" t="s">
        <v>275</v>
      </c>
      <c r="E36" s="5" t="str">
        <f>"989-2455"</f>
        <v>989-2455</v>
      </c>
      <c r="F36" s="5" t="str">
        <f>"岩沼市北長谷字畑向山南27-4"</f>
        <v>岩沼市北長谷字畑向山南27-4</v>
      </c>
      <c r="G36" s="5" t="str">
        <f>"0223-24-1211  "</f>
        <v xml:space="preserve">0223-24-1211  </v>
      </c>
      <c r="H36" s="5" t="s">
        <v>200</v>
      </c>
    </row>
    <row r="37" spans="1:8" x14ac:dyDescent="0.4">
      <c r="A37" s="4">
        <v>36</v>
      </c>
      <c r="B37" s="5" t="s">
        <v>7</v>
      </c>
      <c r="C37" s="5" t="s">
        <v>161</v>
      </c>
      <c r="D37" s="5" t="s">
        <v>162</v>
      </c>
      <c r="E37" s="5" t="str">
        <f>"989-2483"</f>
        <v>989-2483</v>
      </c>
      <c r="F37" s="5" t="str">
        <f>"岩沼市里の杜　１－２－５"</f>
        <v>岩沼市里の杜　１－２－５</v>
      </c>
      <c r="G37" s="5" t="str">
        <f>"0223-23-3151  "</f>
        <v xml:space="preserve">0223-23-3151  </v>
      </c>
      <c r="H37" s="5" t="s">
        <v>163</v>
      </c>
    </row>
    <row r="38" spans="1:8" x14ac:dyDescent="0.4">
      <c r="A38" s="4">
        <v>37</v>
      </c>
      <c r="B38" s="5" t="s">
        <v>7</v>
      </c>
      <c r="C38" s="5" t="s">
        <v>378</v>
      </c>
      <c r="D38" s="5" t="s">
        <v>162</v>
      </c>
      <c r="E38" s="5" t="str">
        <f>"989-2483"</f>
        <v>989-2483</v>
      </c>
      <c r="F38" s="5" t="str">
        <f>"岩沼市里の杜　１－２－５"</f>
        <v>岩沼市里の杜　１－２－５</v>
      </c>
      <c r="G38" s="5" t="str">
        <f>"0223-23-3151  "</f>
        <v xml:space="preserve">0223-23-3151  </v>
      </c>
      <c r="H38" s="5" t="s">
        <v>14</v>
      </c>
    </row>
    <row r="39" spans="1:8" x14ac:dyDescent="0.4">
      <c r="A39" s="4">
        <v>38</v>
      </c>
      <c r="B39" s="5" t="s">
        <v>7</v>
      </c>
      <c r="C39" s="5" t="s">
        <v>400</v>
      </c>
      <c r="D39" s="5" t="s">
        <v>162</v>
      </c>
      <c r="E39" s="5" t="str">
        <f>"989-2483"</f>
        <v>989-2483</v>
      </c>
      <c r="F39" s="5" t="str">
        <f>"岩沼市里の杜　１－２－５"</f>
        <v>岩沼市里の杜　１－２－５</v>
      </c>
      <c r="G39" s="5" t="str">
        <f>"0223-23-3151  "</f>
        <v xml:space="preserve">0223-23-3151  </v>
      </c>
      <c r="H39" s="5" t="s">
        <v>401</v>
      </c>
    </row>
    <row r="40" spans="1:8" ht="37.5" x14ac:dyDescent="0.4">
      <c r="A40" s="4">
        <v>39</v>
      </c>
      <c r="B40" s="5" t="s">
        <v>7</v>
      </c>
      <c r="C40" s="5" t="s">
        <v>414</v>
      </c>
      <c r="D40" s="5" t="s">
        <v>415</v>
      </c>
      <c r="E40" s="5" t="str">
        <f>"989-2427"</f>
        <v>989-2427</v>
      </c>
      <c r="F40" s="5" t="str">
        <f>"岩沼市里の杜1丁目2-5"</f>
        <v>岩沼市里の杜1丁目2-5</v>
      </c>
      <c r="G40" s="5" t="str">
        <f>"0223-23-3151  "</f>
        <v xml:space="preserve">0223-23-3151  </v>
      </c>
      <c r="H40" s="5" t="s">
        <v>188</v>
      </c>
    </row>
    <row r="41" spans="1:8" x14ac:dyDescent="0.4">
      <c r="A41" s="4">
        <v>40</v>
      </c>
      <c r="B41" s="5" t="s">
        <v>7</v>
      </c>
      <c r="C41" s="5" t="s">
        <v>68</v>
      </c>
      <c r="D41" s="5" t="s">
        <v>69</v>
      </c>
      <c r="E41" s="5" t="str">
        <f t="shared" ref="E41:E48" si="3">"988-0181"</f>
        <v>988-0181</v>
      </c>
      <c r="F41" s="5" t="str">
        <f>"気仙沼市赤岩杉ノ沢8-2"</f>
        <v>気仙沼市赤岩杉ノ沢8-2</v>
      </c>
      <c r="G41" s="5" t="str">
        <f t="shared" ref="G41:G48" si="4">"0226-22-7100  "</f>
        <v xml:space="preserve">0226-22-7100  </v>
      </c>
      <c r="H41" s="5" t="s">
        <v>22</v>
      </c>
    </row>
    <row r="42" spans="1:8" ht="37.5" x14ac:dyDescent="0.4">
      <c r="A42" s="4">
        <v>41</v>
      </c>
      <c r="B42" s="5" t="s">
        <v>424</v>
      </c>
      <c r="C42" s="5" t="s">
        <v>494</v>
      </c>
      <c r="D42" s="5" t="s">
        <v>69</v>
      </c>
      <c r="E42" s="5" t="str">
        <f t="shared" si="3"/>
        <v>988-0181</v>
      </c>
      <c r="F42" s="5" t="str">
        <f>"気仙沼市赤岩杉ノ沢８－２"</f>
        <v>気仙沼市赤岩杉ノ沢８－２</v>
      </c>
      <c r="G42" s="5" t="str">
        <f t="shared" si="4"/>
        <v xml:space="preserve">0226-22-7100  </v>
      </c>
      <c r="H42" s="5" t="s">
        <v>495</v>
      </c>
    </row>
    <row r="43" spans="1:8" x14ac:dyDescent="0.4">
      <c r="A43" s="4">
        <v>42</v>
      </c>
      <c r="B43" s="5" t="s">
        <v>7</v>
      </c>
      <c r="C43" s="5" t="s">
        <v>320</v>
      </c>
      <c r="D43" s="5" t="s">
        <v>69</v>
      </c>
      <c r="E43" s="5" t="str">
        <f t="shared" si="3"/>
        <v>988-0181</v>
      </c>
      <c r="F43" s="5" t="s">
        <v>321</v>
      </c>
      <c r="G43" s="5" t="str">
        <f t="shared" si="4"/>
        <v xml:space="preserve">0226-22-7100  </v>
      </c>
      <c r="H43" s="5" t="s">
        <v>189</v>
      </c>
    </row>
    <row r="44" spans="1:8" x14ac:dyDescent="0.4">
      <c r="A44" s="4">
        <v>43</v>
      </c>
      <c r="B44" s="5" t="s">
        <v>7</v>
      </c>
      <c r="C44" s="5" t="s">
        <v>349</v>
      </c>
      <c r="D44" s="5" t="s">
        <v>69</v>
      </c>
      <c r="E44" s="5" t="str">
        <f t="shared" si="3"/>
        <v>988-0181</v>
      </c>
      <c r="F44" s="5" t="s">
        <v>321</v>
      </c>
      <c r="G44" s="5" t="str">
        <f t="shared" si="4"/>
        <v xml:space="preserve">0226-22-7100  </v>
      </c>
      <c r="H44" s="5" t="s">
        <v>125</v>
      </c>
    </row>
    <row r="45" spans="1:8" x14ac:dyDescent="0.4">
      <c r="A45" s="4">
        <v>44</v>
      </c>
      <c r="B45" s="5" t="s">
        <v>7</v>
      </c>
      <c r="C45" s="5" t="s">
        <v>364</v>
      </c>
      <c r="D45" s="5" t="s">
        <v>69</v>
      </c>
      <c r="E45" s="5" t="str">
        <f t="shared" si="3"/>
        <v>988-0181</v>
      </c>
      <c r="F45" s="5" t="s">
        <v>321</v>
      </c>
      <c r="G45" s="5" t="str">
        <f t="shared" si="4"/>
        <v xml:space="preserve">0226-22-7100  </v>
      </c>
      <c r="H45" s="5" t="s">
        <v>22</v>
      </c>
    </row>
    <row r="46" spans="1:8" x14ac:dyDescent="0.4">
      <c r="A46" s="4">
        <v>45</v>
      </c>
      <c r="B46" s="5" t="s">
        <v>7</v>
      </c>
      <c r="C46" s="5" t="s">
        <v>388</v>
      </c>
      <c r="D46" s="5" t="s">
        <v>69</v>
      </c>
      <c r="E46" s="5" t="str">
        <f t="shared" si="3"/>
        <v>988-0181</v>
      </c>
      <c r="F46" s="5" t="s">
        <v>321</v>
      </c>
      <c r="G46" s="5" t="str">
        <f t="shared" si="4"/>
        <v xml:space="preserve">0226-22-7100  </v>
      </c>
      <c r="H46" s="5" t="s">
        <v>14</v>
      </c>
    </row>
    <row r="47" spans="1:8" x14ac:dyDescent="0.4">
      <c r="A47" s="4">
        <v>46</v>
      </c>
      <c r="B47" s="5" t="s">
        <v>7</v>
      </c>
      <c r="C47" s="5" t="s">
        <v>406</v>
      </c>
      <c r="D47" s="5" t="s">
        <v>69</v>
      </c>
      <c r="E47" s="5" t="str">
        <f t="shared" si="3"/>
        <v>988-0181</v>
      </c>
      <c r="F47" s="5" t="s">
        <v>321</v>
      </c>
      <c r="G47" s="5" t="str">
        <f t="shared" si="4"/>
        <v xml:space="preserve">0226-22-7100  </v>
      </c>
      <c r="H47" s="5" t="s">
        <v>185</v>
      </c>
    </row>
    <row r="48" spans="1:8" x14ac:dyDescent="0.4">
      <c r="A48" s="4">
        <v>47</v>
      </c>
      <c r="B48" s="5" t="s">
        <v>7</v>
      </c>
      <c r="C48" s="5" t="s">
        <v>421</v>
      </c>
      <c r="D48" s="5" t="s">
        <v>69</v>
      </c>
      <c r="E48" s="5" t="str">
        <f t="shared" si="3"/>
        <v>988-0181</v>
      </c>
      <c r="F48" s="5" t="s">
        <v>321</v>
      </c>
      <c r="G48" s="5" t="str">
        <f t="shared" si="4"/>
        <v xml:space="preserve">0226-22-7100  </v>
      </c>
      <c r="H48" s="5" t="s">
        <v>22</v>
      </c>
    </row>
    <row r="49" spans="1:8" ht="37.5" x14ac:dyDescent="0.4">
      <c r="A49" s="4">
        <v>48</v>
      </c>
      <c r="B49" s="5" t="s">
        <v>7</v>
      </c>
      <c r="C49" s="5" t="s">
        <v>146</v>
      </c>
      <c r="D49" s="5" t="s">
        <v>147</v>
      </c>
      <c r="E49" s="5" t="str">
        <f>"988-0534"</f>
        <v>988-0534</v>
      </c>
      <c r="F49" s="5" t="s">
        <v>148</v>
      </c>
      <c r="G49" s="5" t="str">
        <f>"0226-32-3128  "</f>
        <v xml:space="preserve">0226-32-3128  </v>
      </c>
      <c r="H49" s="5" t="s">
        <v>149</v>
      </c>
    </row>
    <row r="50" spans="1:8" x14ac:dyDescent="0.4">
      <c r="A50" s="4">
        <v>49</v>
      </c>
      <c r="B50" s="5" t="s">
        <v>7</v>
      </c>
      <c r="C50" s="5" t="s">
        <v>150</v>
      </c>
      <c r="D50" s="5" t="s">
        <v>151</v>
      </c>
      <c r="E50" s="5" t="str">
        <f>"988-0066"</f>
        <v>988-0066</v>
      </c>
      <c r="F50" s="5" t="str">
        <f>"気仙沼市東新城　３－１０－８"</f>
        <v>気仙沼市東新城　３－１０－８</v>
      </c>
      <c r="G50" s="5" t="str">
        <f>"0226-23-5855  "</f>
        <v xml:space="preserve">0226-23-5855  </v>
      </c>
      <c r="H50" s="5" t="s">
        <v>10</v>
      </c>
    </row>
    <row r="51" spans="1:8" x14ac:dyDescent="0.4">
      <c r="A51" s="4">
        <v>50</v>
      </c>
      <c r="B51" s="5" t="s">
        <v>7</v>
      </c>
      <c r="C51" s="5" t="s">
        <v>190</v>
      </c>
      <c r="D51" s="5" t="s">
        <v>191</v>
      </c>
      <c r="E51" s="5" t="str">
        <f>"988-0043"</f>
        <v>988-0043</v>
      </c>
      <c r="F51" s="5" t="str">
        <f>"気仙沼市南郷９－７"</f>
        <v>気仙沼市南郷９－７</v>
      </c>
      <c r="G51" s="5" t="str">
        <f>"0226-23-3285  "</f>
        <v xml:space="preserve">0226-23-3285  </v>
      </c>
      <c r="H51" s="5" t="s">
        <v>10</v>
      </c>
    </row>
    <row r="52" spans="1:8" ht="75" x14ac:dyDescent="0.4">
      <c r="A52" s="4">
        <v>51</v>
      </c>
      <c r="B52" s="5" t="s">
        <v>7</v>
      </c>
      <c r="C52" s="5" t="s">
        <v>70</v>
      </c>
      <c r="D52" s="5" t="s">
        <v>71</v>
      </c>
      <c r="E52" s="5" t="str">
        <f>"988-0382"</f>
        <v>988-0382</v>
      </c>
      <c r="F52" s="5" t="str">
        <f>"気仙沼市本吉町津谷明戸222-2"</f>
        <v>気仙沼市本吉町津谷明戸222-2</v>
      </c>
      <c r="G52" s="5" t="str">
        <f>"0226-42-2621  "</f>
        <v xml:space="preserve">0226-42-2621  </v>
      </c>
      <c r="H52" s="5" t="s">
        <v>72</v>
      </c>
    </row>
    <row r="53" spans="1:8" ht="37.5" x14ac:dyDescent="0.4">
      <c r="A53" s="4">
        <v>52</v>
      </c>
      <c r="B53" s="5" t="s">
        <v>7</v>
      </c>
      <c r="C53" s="5" t="s">
        <v>61</v>
      </c>
      <c r="D53" s="5" t="s">
        <v>62</v>
      </c>
      <c r="E53" s="5" t="str">
        <f>"985-0812"</f>
        <v>985-0812</v>
      </c>
      <c r="F53" s="5" t="s">
        <v>63</v>
      </c>
      <c r="G53" s="5" t="str">
        <f>"022-357-7531  "</f>
        <v xml:space="preserve">022-357-7531  </v>
      </c>
      <c r="H53" s="5" t="s">
        <v>64</v>
      </c>
    </row>
    <row r="54" spans="1:8" ht="37.5" x14ac:dyDescent="0.4">
      <c r="A54" s="4">
        <v>53</v>
      </c>
      <c r="B54" s="5" t="s">
        <v>7</v>
      </c>
      <c r="C54" s="5" t="s">
        <v>121</v>
      </c>
      <c r="D54" s="5" t="s">
        <v>122</v>
      </c>
      <c r="E54" s="5" t="str">
        <f>"981-0212"</f>
        <v>981-0212</v>
      </c>
      <c r="F54" s="5" t="s">
        <v>123</v>
      </c>
      <c r="G54" s="5" t="str">
        <f>"022-353-2333  "</f>
        <v xml:space="preserve">022-353-2333  </v>
      </c>
      <c r="H54" s="5" t="s">
        <v>124</v>
      </c>
    </row>
    <row r="55" spans="1:8" x14ac:dyDescent="0.4">
      <c r="A55" s="4">
        <v>54</v>
      </c>
      <c r="B55" s="5" t="s">
        <v>7</v>
      </c>
      <c r="C55" s="5" t="s">
        <v>276</v>
      </c>
      <c r="D55" s="5" t="s">
        <v>277</v>
      </c>
      <c r="E55" s="5" t="str">
        <f>"981-0133"</f>
        <v>981-0133</v>
      </c>
      <c r="F55" s="5" t="str">
        <f>"宮城郡利府町青葉台2-2-108"</f>
        <v>宮城郡利府町青葉台2-2-108</v>
      </c>
      <c r="G55" s="5" t="str">
        <f>"022-355-4111  "</f>
        <v xml:space="preserve">022-355-4111  </v>
      </c>
      <c r="H55" s="5" t="s">
        <v>111</v>
      </c>
    </row>
    <row r="56" spans="1:8" ht="37.5" x14ac:dyDescent="0.4">
      <c r="A56" s="4">
        <v>55</v>
      </c>
      <c r="B56" s="5" t="s">
        <v>7</v>
      </c>
      <c r="C56" s="5" t="s">
        <v>360</v>
      </c>
      <c r="D56" s="5" t="s">
        <v>361</v>
      </c>
      <c r="E56" s="5" t="str">
        <f>"981-0133"</f>
        <v>981-0133</v>
      </c>
      <c r="F56" s="5" t="str">
        <f>"宮城郡利府町青葉台２丁目２－１０８"</f>
        <v>宮城郡利府町青葉台２丁目２－１０８</v>
      </c>
      <c r="G56" s="5" t="str">
        <f>"022-355-4111  "</f>
        <v xml:space="preserve">022-355-4111  </v>
      </c>
      <c r="H56" s="5" t="s">
        <v>89</v>
      </c>
    </row>
    <row r="57" spans="1:8" ht="37.5" x14ac:dyDescent="0.4">
      <c r="A57" s="4">
        <v>56</v>
      </c>
      <c r="B57" s="5" t="s">
        <v>7</v>
      </c>
      <c r="C57" s="5" t="s">
        <v>317</v>
      </c>
      <c r="D57" s="5" t="s">
        <v>277</v>
      </c>
      <c r="E57" s="5" t="str">
        <f>"981-0133"</f>
        <v>981-0133</v>
      </c>
      <c r="F57" s="5" t="str">
        <f>"宮城郡利府町青葉台２丁目２－１０８"</f>
        <v>宮城郡利府町青葉台２丁目２－１０８</v>
      </c>
      <c r="G57" s="5" t="str">
        <f>"022-355-4111  "</f>
        <v xml:space="preserve">022-355-4111  </v>
      </c>
      <c r="H57" s="5" t="s">
        <v>33</v>
      </c>
    </row>
    <row r="58" spans="1:8" ht="37.5" x14ac:dyDescent="0.4">
      <c r="A58" s="4">
        <v>57</v>
      </c>
      <c r="B58" s="5" t="s">
        <v>7</v>
      </c>
      <c r="C58" s="5" t="s">
        <v>87</v>
      </c>
      <c r="D58" s="5" t="s">
        <v>88</v>
      </c>
      <c r="E58" s="5" t="str">
        <f>"981-0123"</f>
        <v>981-0123</v>
      </c>
      <c r="F58" s="5" t="str">
        <f>"宮城郡利府町沢乙字新北橋　８７－１"</f>
        <v>宮城郡利府町沢乙字新北橋　８７－１</v>
      </c>
      <c r="G58" s="5" t="str">
        <f>"022-767-8741  "</f>
        <v xml:space="preserve">022-767-8741  </v>
      </c>
      <c r="H58" s="5" t="s">
        <v>89</v>
      </c>
    </row>
    <row r="59" spans="1:8" x14ac:dyDescent="0.4">
      <c r="A59" s="4">
        <v>58</v>
      </c>
      <c r="B59" s="5" t="s">
        <v>7</v>
      </c>
      <c r="C59" s="5" t="s">
        <v>90</v>
      </c>
      <c r="D59" s="5" t="s">
        <v>91</v>
      </c>
      <c r="E59" s="5" t="str">
        <f>"981-0124"</f>
        <v>981-0124</v>
      </c>
      <c r="F59" s="5" t="s">
        <v>92</v>
      </c>
      <c r="G59" s="5" t="str">
        <f>"022-767-6555  "</f>
        <v xml:space="preserve">022-767-6555  </v>
      </c>
      <c r="H59" s="5" t="s">
        <v>22</v>
      </c>
    </row>
    <row r="60" spans="1:8" ht="56.25" x14ac:dyDescent="0.4">
      <c r="A60" s="4">
        <v>59</v>
      </c>
      <c r="B60" s="5" t="s">
        <v>7</v>
      </c>
      <c r="C60" s="5" t="s">
        <v>367</v>
      </c>
      <c r="D60" s="5" t="s">
        <v>368</v>
      </c>
      <c r="E60" s="5" t="str">
        <f>"981-0112"</f>
        <v>981-0112</v>
      </c>
      <c r="F60" s="5" t="s">
        <v>369</v>
      </c>
      <c r="G60" s="5" t="str">
        <f>"022-369-3670  "</f>
        <v xml:space="preserve">022-369-3670  </v>
      </c>
      <c r="H60" s="5" t="s">
        <v>370</v>
      </c>
    </row>
    <row r="61" spans="1:8" ht="56.25" x14ac:dyDescent="0.4">
      <c r="A61" s="4">
        <v>60</v>
      </c>
      <c r="B61" s="5" t="s">
        <v>7</v>
      </c>
      <c r="C61" s="5" t="s">
        <v>108</v>
      </c>
      <c r="D61" s="5" t="s">
        <v>109</v>
      </c>
      <c r="E61" s="5" t="str">
        <f>"981-0112"</f>
        <v>981-0112</v>
      </c>
      <c r="F61" s="5" t="str">
        <f>"宮城郡利府町利府字新館２－５"</f>
        <v>宮城郡利府町利府字新館２－５</v>
      </c>
      <c r="G61" s="5" t="str">
        <f>"022-766-4141  "</f>
        <v xml:space="preserve">022-766-4141  </v>
      </c>
      <c r="H61" s="5" t="s">
        <v>110</v>
      </c>
    </row>
    <row r="62" spans="1:8" ht="56.25" x14ac:dyDescent="0.4">
      <c r="A62" s="4">
        <v>61</v>
      </c>
      <c r="B62" s="5" t="s">
        <v>7</v>
      </c>
      <c r="C62" s="5" t="s">
        <v>391</v>
      </c>
      <c r="D62" s="5" t="s">
        <v>368</v>
      </c>
      <c r="E62" s="5" t="str">
        <f>"981-0112"</f>
        <v>981-0112</v>
      </c>
      <c r="F62" s="5" t="s">
        <v>392</v>
      </c>
      <c r="G62" s="5" t="str">
        <f>"022-369-3670  "</f>
        <v xml:space="preserve">022-369-3670  </v>
      </c>
      <c r="H62" s="5" t="s">
        <v>370</v>
      </c>
    </row>
    <row r="63" spans="1:8" x14ac:dyDescent="0.4">
      <c r="A63" s="4">
        <v>62</v>
      </c>
      <c r="B63" s="5" t="s">
        <v>7</v>
      </c>
      <c r="C63" s="5" t="s">
        <v>363</v>
      </c>
      <c r="D63" s="5" t="s">
        <v>183</v>
      </c>
      <c r="E63" s="5" t="str">
        <f>"981-3328"</f>
        <v>981-3328</v>
      </c>
      <c r="F63" s="5" t="str">
        <f>"宮城県富谷市上桜木２－１－６"</f>
        <v>宮城県富谷市上桜木２－１－６</v>
      </c>
      <c r="G63" s="5" t="str">
        <f>"022-779-1470  "</f>
        <v xml:space="preserve">022-779-1470  </v>
      </c>
      <c r="H63" s="5" t="s">
        <v>33</v>
      </c>
    </row>
    <row r="64" spans="1:8" ht="37.5" x14ac:dyDescent="0.4">
      <c r="A64" s="4">
        <v>63</v>
      </c>
      <c r="B64" s="5" t="s">
        <v>7</v>
      </c>
      <c r="C64" s="5" t="s">
        <v>154</v>
      </c>
      <c r="D64" s="5" t="s">
        <v>155</v>
      </c>
      <c r="E64" s="5" t="str">
        <f>"981-3328"</f>
        <v>981-3328</v>
      </c>
      <c r="F64" s="5" t="str">
        <f>"宮城県富谷市上桜木２－３－１４"</f>
        <v>宮城県富谷市上桜木２－３－１４</v>
      </c>
      <c r="G64" s="5" t="str">
        <f>"022-779-1377  "</f>
        <v xml:space="preserve">022-779-1377  </v>
      </c>
      <c r="H64" s="5" t="s">
        <v>156</v>
      </c>
    </row>
    <row r="65" spans="1:8" ht="37.5" x14ac:dyDescent="0.4">
      <c r="A65" s="4">
        <v>64</v>
      </c>
      <c r="B65" s="5" t="s">
        <v>424</v>
      </c>
      <c r="C65" s="5" t="s">
        <v>489</v>
      </c>
      <c r="D65" s="5" t="s">
        <v>490</v>
      </c>
      <c r="E65" s="5" t="str">
        <f>"987-2308"</f>
        <v>987-2308</v>
      </c>
      <c r="F65" s="5" t="str">
        <f>"栗原市一迫真坂字清水山王前6-5"</f>
        <v>栗原市一迫真坂字清水山王前6-5</v>
      </c>
      <c r="G65" s="5" t="str">
        <f>"0228-52-2881  "</f>
        <v xml:space="preserve">0228-52-2881  </v>
      </c>
      <c r="H65" s="5" t="s">
        <v>491</v>
      </c>
    </row>
    <row r="66" spans="1:8" ht="37.5" x14ac:dyDescent="0.4">
      <c r="A66" s="4">
        <v>65</v>
      </c>
      <c r="B66" s="5" t="s">
        <v>7</v>
      </c>
      <c r="C66" s="5" t="s">
        <v>38</v>
      </c>
      <c r="D66" s="5" t="s">
        <v>39</v>
      </c>
      <c r="E66" s="5" t="str">
        <f>"987-2308"</f>
        <v>987-2308</v>
      </c>
      <c r="F66" s="5" t="s">
        <v>40</v>
      </c>
      <c r="G66" s="5" t="str">
        <f>"0228-52-5115  "</f>
        <v xml:space="preserve">0228-52-5115  </v>
      </c>
      <c r="H66" s="5" t="s">
        <v>41</v>
      </c>
    </row>
    <row r="67" spans="1:8" x14ac:dyDescent="0.4">
      <c r="A67" s="4">
        <v>66</v>
      </c>
      <c r="B67" s="5" t="s">
        <v>7</v>
      </c>
      <c r="C67" s="5" t="s">
        <v>318</v>
      </c>
      <c r="D67" s="5" t="s">
        <v>319</v>
      </c>
      <c r="E67" s="5" t="str">
        <f>"989-5625"</f>
        <v>989-5625</v>
      </c>
      <c r="F67" s="5" t="str">
        <f>"栗原市志波姫堀口十文字１－１"</f>
        <v>栗原市志波姫堀口十文字１－１</v>
      </c>
      <c r="G67" s="5" t="str">
        <f>"0228-24-8073  "</f>
        <v xml:space="preserve">0228-24-8073  </v>
      </c>
      <c r="H67" s="5" t="s">
        <v>312</v>
      </c>
    </row>
    <row r="68" spans="1:8" ht="37.5" x14ac:dyDescent="0.4">
      <c r="A68" s="4">
        <v>67</v>
      </c>
      <c r="B68" s="5" t="s">
        <v>424</v>
      </c>
      <c r="C68" s="5" t="s">
        <v>464</v>
      </c>
      <c r="D68" s="5" t="s">
        <v>465</v>
      </c>
      <c r="E68" s="5" t="str">
        <f>"989-5501"</f>
        <v>989-5501</v>
      </c>
      <c r="F68" s="5" t="str">
        <f>"栗原市若柳字川北欠21-1"</f>
        <v>栗原市若柳字川北欠21-1</v>
      </c>
      <c r="G68" s="5" t="str">
        <f>"0228-32-6633  "</f>
        <v xml:space="preserve">0228-32-6633  </v>
      </c>
      <c r="H68" s="5" t="s">
        <v>33</v>
      </c>
    </row>
    <row r="69" spans="1:8" x14ac:dyDescent="0.4">
      <c r="A69" s="4">
        <v>68</v>
      </c>
      <c r="B69" s="5" t="s">
        <v>7</v>
      </c>
      <c r="C69" s="5" t="s">
        <v>11</v>
      </c>
      <c r="D69" s="5" t="s">
        <v>12</v>
      </c>
      <c r="E69" s="5" t="str">
        <f>"987-2216"</f>
        <v>987-2216</v>
      </c>
      <c r="F69" s="5" t="str">
        <f>"栗原市築館伊豆4丁目5-15"</f>
        <v>栗原市築館伊豆4丁目5-15</v>
      </c>
      <c r="G69" s="5" t="str">
        <f>"0228-22-7488  "</f>
        <v xml:space="preserve">0228-22-7488  </v>
      </c>
      <c r="H69" s="5" t="s">
        <v>10</v>
      </c>
    </row>
    <row r="70" spans="1:8" ht="37.5" x14ac:dyDescent="0.4">
      <c r="A70" s="4">
        <v>69</v>
      </c>
      <c r="B70" s="5" t="s">
        <v>424</v>
      </c>
      <c r="C70" s="5" t="s">
        <v>429</v>
      </c>
      <c r="D70" s="5" t="s">
        <v>13</v>
      </c>
      <c r="E70" s="5" t="str">
        <f>"987-2205"</f>
        <v>987-2205</v>
      </c>
      <c r="F70" s="5" t="str">
        <f>"栗原市築館宮野中央　３－１－１"</f>
        <v>栗原市築館宮野中央　３－１－１</v>
      </c>
      <c r="G70" s="5" t="str">
        <f>"0228-21-5330  "</f>
        <v xml:space="preserve">0228-21-5330  </v>
      </c>
      <c r="H70" s="5" t="s">
        <v>22</v>
      </c>
    </row>
    <row r="71" spans="1:8" ht="37.5" x14ac:dyDescent="0.4">
      <c r="A71" s="4">
        <v>70</v>
      </c>
      <c r="B71" s="5" t="s">
        <v>424</v>
      </c>
      <c r="C71" s="5" t="s">
        <v>492</v>
      </c>
      <c r="D71" s="5" t="s">
        <v>493</v>
      </c>
      <c r="E71" s="5" t="str">
        <f>"987-2205"</f>
        <v>987-2205</v>
      </c>
      <c r="F71" s="5" t="str">
        <f>"栗原市築館宮野中央3-3-5"</f>
        <v>栗原市築館宮野中央3-3-5</v>
      </c>
      <c r="G71" s="5" t="str">
        <f>"0228-22-0228  "</f>
        <v xml:space="preserve">0228-22-0228  </v>
      </c>
      <c r="H71" s="5" t="s">
        <v>10</v>
      </c>
    </row>
    <row r="72" spans="1:8" ht="37.5" x14ac:dyDescent="0.4">
      <c r="A72" s="4">
        <v>71</v>
      </c>
      <c r="B72" s="5" t="s">
        <v>7</v>
      </c>
      <c r="C72" s="5" t="s">
        <v>118</v>
      </c>
      <c r="D72" s="5" t="s">
        <v>119</v>
      </c>
      <c r="E72" s="5" t="str">
        <f>"986-8522"</f>
        <v>986-8522</v>
      </c>
      <c r="F72" s="5" t="str">
        <f>"栗原市築館薬師３－３－３３"</f>
        <v>栗原市築館薬師３－３－３３</v>
      </c>
      <c r="G72" s="5" t="str">
        <f>"0228-22-2005  "</f>
        <v xml:space="preserve">0228-22-2005  </v>
      </c>
      <c r="H72" s="5" t="s">
        <v>120</v>
      </c>
    </row>
    <row r="73" spans="1:8" ht="37.5" x14ac:dyDescent="0.4">
      <c r="A73" s="4">
        <v>72</v>
      </c>
      <c r="B73" s="5" t="s">
        <v>7</v>
      </c>
      <c r="C73" s="5" t="s">
        <v>173</v>
      </c>
      <c r="D73" s="5" t="s">
        <v>174</v>
      </c>
      <c r="E73" s="5" t="str">
        <f>"987-2252"</f>
        <v>987-2252</v>
      </c>
      <c r="F73" s="5" t="str">
        <f>"栗原市築館薬師４－３－３０"</f>
        <v>栗原市築館薬師４－３－３０</v>
      </c>
      <c r="G73" s="5" t="str">
        <f>"0228-22-2655  "</f>
        <v xml:space="preserve">0228-22-2655  </v>
      </c>
      <c r="H73" s="5" t="s">
        <v>33</v>
      </c>
    </row>
    <row r="74" spans="1:8" ht="37.5" x14ac:dyDescent="0.4">
      <c r="A74" s="4">
        <v>73</v>
      </c>
      <c r="B74" s="5" t="s">
        <v>7</v>
      </c>
      <c r="C74" s="5" t="s">
        <v>402</v>
      </c>
      <c r="D74" s="5" t="s">
        <v>335</v>
      </c>
      <c r="E74" s="5" t="str">
        <f>"981-3515"</f>
        <v>981-3515</v>
      </c>
      <c r="F74" s="5" t="str">
        <f>"黒川郡大郷町羽生字中ノ町１１－１"</f>
        <v>黒川郡大郷町羽生字中ノ町１１－１</v>
      </c>
      <c r="G74" s="5" t="str">
        <f>"022-359-4123  "</f>
        <v xml:space="preserve">022-359-4123  </v>
      </c>
      <c r="H74" s="5" t="s">
        <v>403</v>
      </c>
    </row>
    <row r="75" spans="1:8" ht="37.5" x14ac:dyDescent="0.4">
      <c r="A75" s="4">
        <v>74</v>
      </c>
      <c r="B75" s="5" t="s">
        <v>7</v>
      </c>
      <c r="C75" s="5" t="s">
        <v>334</v>
      </c>
      <c r="D75" s="5" t="s">
        <v>335</v>
      </c>
      <c r="E75" s="5" t="str">
        <f>"981-3515"</f>
        <v>981-3515</v>
      </c>
      <c r="F75" s="5" t="s">
        <v>336</v>
      </c>
      <c r="G75" s="5" t="str">
        <f>"022-359-4123  "</f>
        <v xml:space="preserve">022-359-4123  </v>
      </c>
      <c r="H75" s="5" t="s">
        <v>33</v>
      </c>
    </row>
    <row r="76" spans="1:8" ht="37.5" x14ac:dyDescent="0.4">
      <c r="A76" s="4">
        <v>75</v>
      </c>
      <c r="B76" s="5" t="s">
        <v>424</v>
      </c>
      <c r="C76" s="5" t="s">
        <v>467</v>
      </c>
      <c r="D76" s="5" t="s">
        <v>468</v>
      </c>
      <c r="E76" s="5" t="str">
        <f>"981-3602"</f>
        <v>981-3602</v>
      </c>
      <c r="F76" s="5" t="str">
        <f>"黒川郡大衡村大衡字河原５５－１１"</f>
        <v>黒川郡大衡村大衡字河原５５－１１</v>
      </c>
      <c r="G76" s="5" t="str">
        <f>"022-345-2336  "</f>
        <v xml:space="preserve">022-345-2336  </v>
      </c>
      <c r="H76" s="5" t="s">
        <v>179</v>
      </c>
    </row>
    <row r="77" spans="1:8" ht="56.25" x14ac:dyDescent="0.4">
      <c r="A77" s="4">
        <v>76</v>
      </c>
      <c r="B77" s="5" t="s">
        <v>424</v>
      </c>
      <c r="C77" s="5" t="s">
        <v>500</v>
      </c>
      <c r="D77" s="5" t="s">
        <v>501</v>
      </c>
      <c r="E77" s="5" t="str">
        <f>"981-3632"</f>
        <v>981-3632</v>
      </c>
      <c r="F77" s="5" t="s">
        <v>502</v>
      </c>
      <c r="G77" s="5" t="str">
        <f>"022-345-9901  "</f>
        <v xml:space="preserve">022-345-9901  </v>
      </c>
      <c r="H77" s="5" t="s">
        <v>503</v>
      </c>
    </row>
    <row r="78" spans="1:8" x14ac:dyDescent="0.4">
      <c r="A78" s="4">
        <v>77</v>
      </c>
      <c r="B78" s="5" t="s">
        <v>7</v>
      </c>
      <c r="C78" s="5" t="s">
        <v>244</v>
      </c>
      <c r="D78" s="5" t="s">
        <v>242</v>
      </c>
      <c r="E78" s="5" t="str">
        <f>"981-3621"</f>
        <v>981-3621</v>
      </c>
      <c r="F78" s="5" t="s">
        <v>243</v>
      </c>
      <c r="G78" s="5" t="str">
        <f t="shared" ref="G78:G83" si="5">"022-345-3101  "</f>
        <v xml:space="preserve">022-345-3101  </v>
      </c>
      <c r="H78" s="5" t="s">
        <v>33</v>
      </c>
    </row>
    <row r="79" spans="1:8" x14ac:dyDescent="0.4">
      <c r="A79" s="4">
        <v>78</v>
      </c>
      <c r="B79" s="5" t="s">
        <v>7</v>
      </c>
      <c r="C79" s="5" t="s">
        <v>245</v>
      </c>
      <c r="D79" s="5" t="s">
        <v>242</v>
      </c>
      <c r="E79" s="5" t="str">
        <f>"981-3621"</f>
        <v>981-3621</v>
      </c>
      <c r="F79" s="5" t="s">
        <v>243</v>
      </c>
      <c r="G79" s="5" t="str">
        <f t="shared" si="5"/>
        <v xml:space="preserve">022-345-3101  </v>
      </c>
      <c r="H79" s="5" t="s">
        <v>29</v>
      </c>
    </row>
    <row r="80" spans="1:8" x14ac:dyDescent="0.4">
      <c r="A80" s="4">
        <v>79</v>
      </c>
      <c r="B80" s="5" t="s">
        <v>7</v>
      </c>
      <c r="C80" s="5" t="s">
        <v>220</v>
      </c>
      <c r="D80" s="5" t="s">
        <v>242</v>
      </c>
      <c r="E80" s="5" t="str">
        <f>"981-3682"</f>
        <v>981-3682</v>
      </c>
      <c r="F80" s="5" t="s">
        <v>243</v>
      </c>
      <c r="G80" s="5" t="str">
        <f t="shared" si="5"/>
        <v xml:space="preserve">022-345-3101  </v>
      </c>
      <c r="H80" s="5" t="s">
        <v>189</v>
      </c>
    </row>
    <row r="81" spans="1:8" ht="37.5" x14ac:dyDescent="0.4">
      <c r="A81" s="4">
        <v>80</v>
      </c>
      <c r="B81" s="5" t="s">
        <v>424</v>
      </c>
      <c r="C81" s="5" t="s">
        <v>479</v>
      </c>
      <c r="D81" s="5" t="s">
        <v>242</v>
      </c>
      <c r="E81" s="5" t="str">
        <f>"981-3621"</f>
        <v>981-3621</v>
      </c>
      <c r="F81" s="5" t="s">
        <v>243</v>
      </c>
      <c r="G81" s="5" t="str">
        <f t="shared" si="5"/>
        <v xml:space="preserve">022-345-3101  </v>
      </c>
      <c r="H81" s="5" t="s">
        <v>33</v>
      </c>
    </row>
    <row r="82" spans="1:8" ht="37.5" x14ac:dyDescent="0.4">
      <c r="A82" s="4">
        <v>81</v>
      </c>
      <c r="B82" s="5" t="s">
        <v>424</v>
      </c>
      <c r="C82" s="5" t="s">
        <v>480</v>
      </c>
      <c r="D82" s="5" t="s">
        <v>242</v>
      </c>
      <c r="E82" s="5" t="str">
        <f>"981-3621"</f>
        <v>981-3621</v>
      </c>
      <c r="F82" s="5" t="s">
        <v>243</v>
      </c>
      <c r="G82" s="5" t="str">
        <f t="shared" si="5"/>
        <v xml:space="preserve">022-345-3101  </v>
      </c>
      <c r="H82" s="5" t="s">
        <v>33</v>
      </c>
    </row>
    <row r="83" spans="1:8" x14ac:dyDescent="0.4">
      <c r="A83" s="4">
        <v>82</v>
      </c>
      <c r="B83" s="5" t="s">
        <v>7</v>
      </c>
      <c r="C83" s="5" t="s">
        <v>379</v>
      </c>
      <c r="D83" s="5" t="s">
        <v>242</v>
      </c>
      <c r="E83" s="5" t="str">
        <f>"981-3682"</f>
        <v>981-3682</v>
      </c>
      <c r="F83" s="5" t="s">
        <v>380</v>
      </c>
      <c r="G83" s="5" t="str">
        <f t="shared" si="5"/>
        <v xml:space="preserve">022-345-3101  </v>
      </c>
      <c r="H83" s="5" t="s">
        <v>29</v>
      </c>
    </row>
    <row r="84" spans="1:8" ht="37.5" x14ac:dyDescent="0.4">
      <c r="A84" s="4">
        <v>83</v>
      </c>
      <c r="B84" s="5" t="s">
        <v>7</v>
      </c>
      <c r="C84" s="5" t="s">
        <v>65</v>
      </c>
      <c r="D84" s="5" t="s">
        <v>66</v>
      </c>
      <c r="E84" s="5" t="str">
        <f>"981-3627"</f>
        <v>981-3627</v>
      </c>
      <c r="F84" s="5" t="s">
        <v>67</v>
      </c>
      <c r="G84" s="5" t="str">
        <f>"022-347-1682  "</f>
        <v xml:space="preserve">022-347-1682  </v>
      </c>
      <c r="H84" s="5" t="s">
        <v>10</v>
      </c>
    </row>
    <row r="85" spans="1:8" ht="37.5" x14ac:dyDescent="0.4">
      <c r="A85" s="4">
        <v>84</v>
      </c>
      <c r="B85" s="5" t="s">
        <v>7</v>
      </c>
      <c r="C85" s="5" t="s">
        <v>285</v>
      </c>
      <c r="D85" s="5" t="s">
        <v>416</v>
      </c>
      <c r="E85" s="5" t="str">
        <f>"981-3623"</f>
        <v>981-3623</v>
      </c>
      <c r="F85" s="5" t="s">
        <v>417</v>
      </c>
      <c r="G85" s="5" t="str">
        <f>"022-358-5101  "</f>
        <v xml:space="preserve">022-358-5101  </v>
      </c>
      <c r="H85" s="5" t="s">
        <v>179</v>
      </c>
    </row>
    <row r="86" spans="1:8" x14ac:dyDescent="0.4">
      <c r="A86" s="4">
        <v>85</v>
      </c>
      <c r="B86" s="5" t="s">
        <v>7</v>
      </c>
      <c r="C86" s="5" t="s">
        <v>102</v>
      </c>
      <c r="D86" s="5" t="s">
        <v>103</v>
      </c>
      <c r="E86" s="5" t="str">
        <f>"989-1214"</f>
        <v>989-1214</v>
      </c>
      <c r="F86" s="5" t="str">
        <f>"柴田郡大河原町字甲子町３－５"</f>
        <v>柴田郡大河原町字甲子町３－５</v>
      </c>
      <c r="G86" s="5" t="str">
        <f>"0224-52-2777  "</f>
        <v xml:space="preserve">0224-52-2777  </v>
      </c>
      <c r="H86" s="5" t="s">
        <v>33</v>
      </c>
    </row>
    <row r="87" spans="1:8" x14ac:dyDescent="0.4">
      <c r="A87" s="4">
        <v>86</v>
      </c>
      <c r="B87" s="5" t="s">
        <v>7</v>
      </c>
      <c r="C87" s="5" t="s">
        <v>104</v>
      </c>
      <c r="D87" s="5" t="s">
        <v>103</v>
      </c>
      <c r="E87" s="5" t="str">
        <f>"989-1214"</f>
        <v>989-1214</v>
      </c>
      <c r="F87" s="5" t="str">
        <f>"柴田郡大河原町字甲子町３－５"</f>
        <v>柴田郡大河原町字甲子町３－５</v>
      </c>
      <c r="G87" s="5" t="str">
        <f>"0224-52-2777  "</f>
        <v xml:space="preserve">0224-52-2777  </v>
      </c>
      <c r="H87" s="5" t="s">
        <v>33</v>
      </c>
    </row>
    <row r="88" spans="1:8" x14ac:dyDescent="0.4">
      <c r="A88" s="4">
        <v>87</v>
      </c>
      <c r="B88" s="5" t="s">
        <v>7</v>
      </c>
      <c r="C88" s="5" t="s">
        <v>73</v>
      </c>
      <c r="D88" s="5" t="s">
        <v>74</v>
      </c>
      <c r="E88" s="5" t="str">
        <f>"989-1213"</f>
        <v>989-1213</v>
      </c>
      <c r="F88" s="5" t="str">
        <f>"柴田郡大河原町字住吉町１１－１"</f>
        <v>柴田郡大河原町字住吉町１１－１</v>
      </c>
      <c r="G88" s="5" t="str">
        <f>"0224-51-5355  "</f>
        <v xml:space="preserve">0224-51-5355  </v>
      </c>
      <c r="H88" s="5" t="s">
        <v>22</v>
      </c>
    </row>
    <row r="89" spans="1:8" ht="37.5" x14ac:dyDescent="0.4">
      <c r="A89" s="4">
        <v>88</v>
      </c>
      <c r="B89" s="5" t="s">
        <v>7</v>
      </c>
      <c r="C89" s="5" t="s">
        <v>247</v>
      </c>
      <c r="D89" s="5" t="s">
        <v>248</v>
      </c>
      <c r="E89" s="5" t="str">
        <f>"989-1213"</f>
        <v>989-1213</v>
      </c>
      <c r="F89" s="5" t="str">
        <f>"柴田郡大河原町字住吉町９－７"</f>
        <v>柴田郡大河原町字住吉町９－７</v>
      </c>
      <c r="G89" s="5" t="str">
        <f>"0224-51-8458  "</f>
        <v xml:space="preserve">0224-51-8458  </v>
      </c>
      <c r="H89" s="5" t="s">
        <v>249</v>
      </c>
    </row>
    <row r="90" spans="1:8" x14ac:dyDescent="0.4">
      <c r="A90" s="4">
        <v>89</v>
      </c>
      <c r="B90" s="5" t="s">
        <v>7</v>
      </c>
      <c r="C90" s="5" t="s">
        <v>362</v>
      </c>
      <c r="D90" s="5" t="s">
        <v>107</v>
      </c>
      <c r="E90" s="5" t="str">
        <f t="shared" ref="E90:E96" si="6">"989-1253"</f>
        <v>989-1253</v>
      </c>
      <c r="F90" s="5" t="str">
        <f>"柴田郡大河原町字西　３８－１"</f>
        <v>柴田郡大河原町字西　３８－１</v>
      </c>
      <c r="G90" s="5" t="str">
        <f t="shared" ref="G90:G96" si="7">"0224-51-5500  "</f>
        <v xml:space="preserve">0224-51-5500  </v>
      </c>
      <c r="H90" s="5" t="s">
        <v>185</v>
      </c>
    </row>
    <row r="91" spans="1:8" x14ac:dyDescent="0.4">
      <c r="A91" s="4">
        <v>90</v>
      </c>
      <c r="B91" s="5" t="s">
        <v>7</v>
      </c>
      <c r="C91" s="5" t="s">
        <v>404</v>
      </c>
      <c r="D91" s="5" t="s">
        <v>107</v>
      </c>
      <c r="E91" s="5" t="str">
        <f t="shared" si="6"/>
        <v>989-1253</v>
      </c>
      <c r="F91" s="5" t="str">
        <f>"柴田郡大河原町字西　３８－１"</f>
        <v>柴田郡大河原町字西　３８－１</v>
      </c>
      <c r="G91" s="5" t="str">
        <f t="shared" si="7"/>
        <v xml:space="preserve">0224-51-5500  </v>
      </c>
      <c r="H91" s="5" t="s">
        <v>405</v>
      </c>
    </row>
    <row r="92" spans="1:8" x14ac:dyDescent="0.4">
      <c r="A92" s="4">
        <v>91</v>
      </c>
      <c r="B92" s="5" t="s">
        <v>7</v>
      </c>
      <c r="C92" s="5" t="s">
        <v>241</v>
      </c>
      <c r="D92" s="5" t="s">
        <v>107</v>
      </c>
      <c r="E92" s="5" t="str">
        <f t="shared" si="6"/>
        <v>989-1253</v>
      </c>
      <c r="F92" s="5" t="str">
        <f>"柴田郡大河原町字西38-1"</f>
        <v>柴田郡大河原町字西38-1</v>
      </c>
      <c r="G92" s="5" t="str">
        <f t="shared" si="7"/>
        <v xml:space="preserve">0224-51-5500  </v>
      </c>
      <c r="H92" s="5" t="s">
        <v>29</v>
      </c>
    </row>
    <row r="93" spans="1:8" x14ac:dyDescent="0.4">
      <c r="A93" s="4">
        <v>92</v>
      </c>
      <c r="B93" s="5" t="s">
        <v>7</v>
      </c>
      <c r="C93" s="5" t="s">
        <v>255</v>
      </c>
      <c r="D93" s="5" t="s">
        <v>107</v>
      </c>
      <c r="E93" s="5" t="str">
        <f t="shared" si="6"/>
        <v>989-1253</v>
      </c>
      <c r="F93" s="5" t="str">
        <f>"柴田郡大河原町字西38-1"</f>
        <v>柴田郡大河原町字西38-1</v>
      </c>
      <c r="G93" s="5" t="str">
        <f t="shared" si="7"/>
        <v xml:space="preserve">0224-51-5500  </v>
      </c>
      <c r="H93" s="5" t="s">
        <v>22</v>
      </c>
    </row>
    <row r="94" spans="1:8" x14ac:dyDescent="0.4">
      <c r="A94" s="4">
        <v>93</v>
      </c>
      <c r="B94" s="5" t="s">
        <v>7</v>
      </c>
      <c r="C94" s="5" t="s">
        <v>259</v>
      </c>
      <c r="D94" s="5" t="s">
        <v>107</v>
      </c>
      <c r="E94" s="5" t="str">
        <f t="shared" si="6"/>
        <v>989-1253</v>
      </c>
      <c r="F94" s="5" t="s">
        <v>260</v>
      </c>
      <c r="G94" s="5" t="str">
        <f t="shared" si="7"/>
        <v xml:space="preserve">0224-51-5500  </v>
      </c>
      <c r="H94" s="5" t="s">
        <v>261</v>
      </c>
    </row>
    <row r="95" spans="1:8" x14ac:dyDescent="0.4">
      <c r="A95" s="4">
        <v>94</v>
      </c>
      <c r="B95" s="5" t="s">
        <v>7</v>
      </c>
      <c r="C95" s="5" t="s">
        <v>396</v>
      </c>
      <c r="D95" s="5" t="s">
        <v>107</v>
      </c>
      <c r="E95" s="5" t="str">
        <f t="shared" si="6"/>
        <v>989-1253</v>
      </c>
      <c r="F95" s="5" t="s">
        <v>397</v>
      </c>
      <c r="G95" s="5" t="str">
        <f t="shared" si="7"/>
        <v xml:space="preserve">0224-51-5500  </v>
      </c>
      <c r="H95" s="5" t="s">
        <v>22</v>
      </c>
    </row>
    <row r="96" spans="1:8" x14ac:dyDescent="0.4">
      <c r="A96" s="4">
        <v>95</v>
      </c>
      <c r="B96" s="5" t="s">
        <v>7</v>
      </c>
      <c r="C96" s="5" t="s">
        <v>322</v>
      </c>
      <c r="D96" s="5" t="s">
        <v>107</v>
      </c>
      <c r="E96" s="5" t="str">
        <f t="shared" si="6"/>
        <v>989-1253</v>
      </c>
      <c r="F96" s="5" t="str">
        <f>"柴田郡大河原町西３８－１"</f>
        <v>柴田郡大河原町西３８－１</v>
      </c>
      <c r="G96" s="5" t="str">
        <f t="shared" si="7"/>
        <v xml:space="preserve">0224-51-5500  </v>
      </c>
      <c r="H96" s="5" t="s">
        <v>323</v>
      </c>
    </row>
    <row r="97" spans="1:8" ht="37.5" x14ac:dyDescent="0.4">
      <c r="A97" s="4">
        <v>96</v>
      </c>
      <c r="B97" s="5" t="s">
        <v>424</v>
      </c>
      <c r="C97" s="5" t="s">
        <v>427</v>
      </c>
      <c r="D97" s="5" t="s">
        <v>428</v>
      </c>
      <c r="E97" s="5" t="str">
        <f>"989-1244"</f>
        <v>989-1244</v>
      </c>
      <c r="F97" s="5" t="str">
        <f>"柴田郡大河原町西町８０－３"</f>
        <v>柴田郡大河原町西町８０－３</v>
      </c>
      <c r="G97" s="5" t="str">
        <f>"0224-53-1113  "</f>
        <v xml:space="preserve">0224-53-1113  </v>
      </c>
      <c r="H97" s="5" t="s">
        <v>10</v>
      </c>
    </row>
    <row r="98" spans="1:8" ht="37.5" x14ac:dyDescent="0.4">
      <c r="A98" s="4">
        <v>97</v>
      </c>
      <c r="B98" s="5" t="s">
        <v>7</v>
      </c>
      <c r="C98" s="5" t="s">
        <v>35</v>
      </c>
      <c r="D98" s="5" t="s">
        <v>36</v>
      </c>
      <c r="E98" s="5" t="str">
        <f>"989-1201"</f>
        <v>989-1201</v>
      </c>
      <c r="F98" s="5" t="str">
        <f>"柴田郡大河原町大谷字戸ノ内前３５－１"</f>
        <v>柴田郡大河原町大谷字戸ノ内前３５－１</v>
      </c>
      <c r="G98" s="5" t="str">
        <f>"0224-51-3741  "</f>
        <v xml:space="preserve">0224-51-3741  </v>
      </c>
      <c r="H98" s="5" t="s">
        <v>37</v>
      </c>
    </row>
    <row r="99" spans="1:8" ht="37.5" x14ac:dyDescent="0.4">
      <c r="A99" s="4">
        <v>98</v>
      </c>
      <c r="B99" s="5" t="s">
        <v>424</v>
      </c>
      <c r="C99" s="5" t="s">
        <v>449</v>
      </c>
      <c r="D99" s="5" t="s">
        <v>450</v>
      </c>
      <c r="E99" s="5" t="str">
        <f>"986-0866"</f>
        <v>986-0866</v>
      </c>
      <c r="F99" s="5" t="s">
        <v>451</v>
      </c>
      <c r="G99" s="5" t="str">
        <f>"0225-22-3020  "</f>
        <v xml:space="preserve">0225-22-3020  </v>
      </c>
      <c r="H99" s="5" t="s">
        <v>179</v>
      </c>
    </row>
    <row r="100" spans="1:8" ht="37.5" x14ac:dyDescent="0.4">
      <c r="A100" s="4">
        <v>99</v>
      </c>
      <c r="B100" s="5" t="s">
        <v>424</v>
      </c>
      <c r="C100" s="5" t="s">
        <v>466</v>
      </c>
      <c r="D100" s="5" t="s">
        <v>450</v>
      </c>
      <c r="E100" s="5" t="str">
        <f>"986-0866"</f>
        <v>986-0866</v>
      </c>
      <c r="F100" s="5" t="s">
        <v>451</v>
      </c>
      <c r="G100" s="5" t="str">
        <f>"0225-22-3020  "</f>
        <v xml:space="preserve">0225-22-3020  </v>
      </c>
      <c r="H100" s="5" t="s">
        <v>179</v>
      </c>
    </row>
    <row r="101" spans="1:8" ht="37.5" x14ac:dyDescent="0.4">
      <c r="A101" s="4">
        <v>100</v>
      </c>
      <c r="B101" s="5" t="s">
        <v>424</v>
      </c>
      <c r="C101" s="5" t="s">
        <v>452</v>
      </c>
      <c r="D101" s="5" t="s">
        <v>453</v>
      </c>
      <c r="E101" s="5" t="str">
        <f>"986-0813"</f>
        <v>986-0813</v>
      </c>
      <c r="F101" s="5" t="s">
        <v>454</v>
      </c>
      <c r="G101" s="5" t="str">
        <f>"0225-95-3123  "</f>
        <v xml:space="preserve">0225-95-3123  </v>
      </c>
      <c r="H101" s="5" t="s">
        <v>185</v>
      </c>
    </row>
    <row r="102" spans="1:8" x14ac:dyDescent="0.4">
      <c r="A102" s="4">
        <v>101</v>
      </c>
      <c r="B102" s="5" t="s">
        <v>7</v>
      </c>
      <c r="C102" s="5" t="s">
        <v>386</v>
      </c>
      <c r="D102" s="5" t="s">
        <v>387</v>
      </c>
      <c r="E102" s="5" t="str">
        <f>"986-0877"</f>
        <v>986-0877</v>
      </c>
      <c r="F102" s="5" t="str">
        <f>"石巻市錦町６－４５"</f>
        <v>石巻市錦町６－４５</v>
      </c>
      <c r="G102" s="5" t="str">
        <f>"0225-22-8822  "</f>
        <v xml:space="preserve">0225-22-8822  </v>
      </c>
      <c r="H102" s="5" t="s">
        <v>125</v>
      </c>
    </row>
    <row r="103" spans="1:8" x14ac:dyDescent="0.4">
      <c r="A103" s="4">
        <v>102</v>
      </c>
      <c r="B103" s="5" t="s">
        <v>7</v>
      </c>
      <c r="C103" s="5" t="s">
        <v>330</v>
      </c>
      <c r="D103" s="5" t="s">
        <v>331</v>
      </c>
      <c r="E103" s="5" t="str">
        <f>"986-0868"</f>
        <v>986-0868</v>
      </c>
      <c r="F103" s="5" t="str">
        <f>"石巻市恵み野５丁目10-38"</f>
        <v>石巻市恵み野５丁目10-38</v>
      </c>
      <c r="G103" s="5" t="str">
        <f>"0225-92-7311  "</f>
        <v xml:space="preserve">0225-92-7311  </v>
      </c>
      <c r="H103" s="5" t="s">
        <v>14</v>
      </c>
    </row>
    <row r="104" spans="1:8" x14ac:dyDescent="0.4">
      <c r="A104" s="4">
        <v>103</v>
      </c>
      <c r="B104" s="5" t="s">
        <v>7</v>
      </c>
      <c r="C104" s="5" t="s">
        <v>328</v>
      </c>
      <c r="D104" s="5" t="s">
        <v>329</v>
      </c>
      <c r="E104" s="5" t="str">
        <f>"987-1222"</f>
        <v>987-1222</v>
      </c>
      <c r="F104" s="5" t="str">
        <f>"石巻市広渕字町北７０－１"</f>
        <v>石巻市広渕字町北７０－１</v>
      </c>
      <c r="G104" s="5" t="str">
        <f>"0225-73-3811  "</f>
        <v xml:space="preserve">0225-73-3811  </v>
      </c>
      <c r="H104" s="5" t="s">
        <v>179</v>
      </c>
    </row>
    <row r="105" spans="1:8" ht="37.5" x14ac:dyDescent="0.4">
      <c r="A105" s="4">
        <v>104</v>
      </c>
      <c r="B105" s="5" t="s">
        <v>7</v>
      </c>
      <c r="C105" s="5" t="s">
        <v>112</v>
      </c>
      <c r="D105" s="5" t="s">
        <v>113</v>
      </c>
      <c r="E105" s="5" t="str">
        <f>"987-1222"</f>
        <v>987-1222</v>
      </c>
      <c r="F105" s="5" t="s">
        <v>114</v>
      </c>
      <c r="G105" s="5" t="str">
        <f>"0225-73-2420  "</f>
        <v xml:space="preserve">0225-73-2420  </v>
      </c>
      <c r="H105" s="5" t="s">
        <v>115</v>
      </c>
    </row>
    <row r="106" spans="1:8" x14ac:dyDescent="0.4">
      <c r="A106" s="4">
        <v>105</v>
      </c>
      <c r="B106" s="5" t="s">
        <v>7</v>
      </c>
      <c r="C106" s="5" t="s">
        <v>15</v>
      </c>
      <c r="D106" s="5" t="s">
        <v>16</v>
      </c>
      <c r="E106" s="5" t="str">
        <f t="shared" ref="E106:E118" si="8">"986-0861"</f>
        <v>986-0861</v>
      </c>
      <c r="F106" s="5" t="s">
        <v>17</v>
      </c>
      <c r="G106" s="5" t="str">
        <f t="shared" ref="G106:G130" si="9">"0225-21-7220  "</f>
        <v xml:space="preserve">0225-21-7220  </v>
      </c>
      <c r="H106" s="5" t="s">
        <v>14</v>
      </c>
    </row>
    <row r="107" spans="1:8" x14ac:dyDescent="0.4">
      <c r="A107" s="4">
        <v>106</v>
      </c>
      <c r="B107" s="5" t="s">
        <v>7</v>
      </c>
      <c r="C107" s="5" t="s">
        <v>19</v>
      </c>
      <c r="D107" s="5" t="s">
        <v>16</v>
      </c>
      <c r="E107" s="5" t="str">
        <f t="shared" si="8"/>
        <v>986-0861</v>
      </c>
      <c r="F107" s="5" t="s">
        <v>17</v>
      </c>
      <c r="G107" s="5" t="str">
        <f t="shared" si="9"/>
        <v xml:space="preserve">0225-21-7220  </v>
      </c>
      <c r="H107" s="5" t="s">
        <v>20</v>
      </c>
    </row>
    <row r="108" spans="1:8" x14ac:dyDescent="0.4">
      <c r="A108" s="4">
        <v>107</v>
      </c>
      <c r="B108" s="5" t="s">
        <v>7</v>
      </c>
      <c r="C108" s="5" t="s">
        <v>21</v>
      </c>
      <c r="D108" s="5" t="s">
        <v>16</v>
      </c>
      <c r="E108" s="5" t="str">
        <f t="shared" si="8"/>
        <v>986-0861</v>
      </c>
      <c r="F108" s="5" t="s">
        <v>17</v>
      </c>
      <c r="G108" s="5" t="str">
        <f t="shared" si="9"/>
        <v xml:space="preserve">0225-21-7220  </v>
      </c>
      <c r="H108" s="5" t="s">
        <v>10</v>
      </c>
    </row>
    <row r="109" spans="1:8" x14ac:dyDescent="0.4">
      <c r="A109" s="4">
        <v>108</v>
      </c>
      <c r="B109" s="5" t="s">
        <v>7</v>
      </c>
      <c r="C109" s="5" t="s">
        <v>24</v>
      </c>
      <c r="D109" s="5" t="s">
        <v>16</v>
      </c>
      <c r="E109" s="5" t="str">
        <f t="shared" si="8"/>
        <v>986-0861</v>
      </c>
      <c r="F109" s="5" t="s">
        <v>17</v>
      </c>
      <c r="G109" s="5" t="str">
        <f t="shared" si="9"/>
        <v xml:space="preserve">0225-21-7220  </v>
      </c>
      <c r="H109" s="5" t="s">
        <v>25</v>
      </c>
    </row>
    <row r="110" spans="1:8" x14ac:dyDescent="0.4">
      <c r="A110" s="4">
        <v>109</v>
      </c>
      <c r="B110" s="5" t="s">
        <v>7</v>
      </c>
      <c r="C110" s="5" t="s">
        <v>26</v>
      </c>
      <c r="D110" s="5" t="s">
        <v>16</v>
      </c>
      <c r="E110" s="5" t="str">
        <f t="shared" si="8"/>
        <v>986-0861</v>
      </c>
      <c r="F110" s="5" t="s">
        <v>17</v>
      </c>
      <c r="G110" s="5" t="str">
        <f t="shared" si="9"/>
        <v xml:space="preserve">0225-21-7220  </v>
      </c>
      <c r="H110" s="5" t="s">
        <v>27</v>
      </c>
    </row>
    <row r="111" spans="1:8" x14ac:dyDescent="0.4">
      <c r="A111" s="4">
        <v>110</v>
      </c>
      <c r="B111" s="5" t="s">
        <v>7</v>
      </c>
      <c r="C111" s="5" t="s">
        <v>28</v>
      </c>
      <c r="D111" s="5" t="s">
        <v>16</v>
      </c>
      <c r="E111" s="5" t="str">
        <f t="shared" si="8"/>
        <v>986-0861</v>
      </c>
      <c r="F111" s="5" t="s">
        <v>17</v>
      </c>
      <c r="G111" s="5" t="str">
        <f t="shared" si="9"/>
        <v xml:space="preserve">0225-21-7220  </v>
      </c>
      <c r="H111" s="5" t="s">
        <v>29</v>
      </c>
    </row>
    <row r="112" spans="1:8" x14ac:dyDescent="0.4">
      <c r="A112" s="4">
        <v>111</v>
      </c>
      <c r="B112" s="5" t="s">
        <v>7</v>
      </c>
      <c r="C112" s="5" t="s">
        <v>30</v>
      </c>
      <c r="D112" s="5" t="s">
        <v>16</v>
      </c>
      <c r="E112" s="5" t="str">
        <f t="shared" si="8"/>
        <v>986-0861</v>
      </c>
      <c r="F112" s="5" t="s">
        <v>17</v>
      </c>
      <c r="G112" s="5" t="str">
        <f t="shared" si="9"/>
        <v xml:space="preserve">0225-21-7220  </v>
      </c>
      <c r="H112" s="5" t="s">
        <v>31</v>
      </c>
    </row>
    <row r="113" spans="1:8" x14ac:dyDescent="0.4">
      <c r="A113" s="4">
        <v>112</v>
      </c>
      <c r="B113" s="5" t="s">
        <v>7</v>
      </c>
      <c r="C113" s="5" t="s">
        <v>32</v>
      </c>
      <c r="D113" s="5" t="s">
        <v>16</v>
      </c>
      <c r="E113" s="5" t="str">
        <f t="shared" si="8"/>
        <v>986-0861</v>
      </c>
      <c r="F113" s="5" t="s">
        <v>17</v>
      </c>
      <c r="G113" s="5" t="str">
        <f t="shared" si="9"/>
        <v xml:space="preserve">0225-21-7220  </v>
      </c>
      <c r="H113" s="5" t="s">
        <v>33</v>
      </c>
    </row>
    <row r="114" spans="1:8" x14ac:dyDescent="0.4">
      <c r="A114" s="4">
        <v>113</v>
      </c>
      <c r="B114" s="5" t="s">
        <v>7</v>
      </c>
      <c r="C114" s="5" t="s">
        <v>34</v>
      </c>
      <c r="D114" s="5" t="s">
        <v>16</v>
      </c>
      <c r="E114" s="5" t="str">
        <f t="shared" si="8"/>
        <v>986-0861</v>
      </c>
      <c r="F114" s="5" t="s">
        <v>17</v>
      </c>
      <c r="G114" s="5" t="str">
        <f t="shared" si="9"/>
        <v xml:space="preserve">0225-21-7220  </v>
      </c>
      <c r="H114" s="5" t="s">
        <v>31</v>
      </c>
    </row>
    <row r="115" spans="1:8" x14ac:dyDescent="0.4">
      <c r="A115" s="4">
        <v>114</v>
      </c>
      <c r="B115" s="5" t="s">
        <v>7</v>
      </c>
      <c r="C115" s="5" t="s">
        <v>199</v>
      </c>
      <c r="D115" s="5" t="s">
        <v>16</v>
      </c>
      <c r="E115" s="5" t="str">
        <f t="shared" si="8"/>
        <v>986-0861</v>
      </c>
      <c r="F115" s="5" t="s">
        <v>17</v>
      </c>
      <c r="G115" s="5" t="str">
        <f t="shared" si="9"/>
        <v xml:space="preserve">0225-21-7220  </v>
      </c>
      <c r="H115" s="5" t="s">
        <v>22</v>
      </c>
    </row>
    <row r="116" spans="1:8" x14ac:dyDescent="0.4">
      <c r="A116" s="4">
        <v>115</v>
      </c>
      <c r="B116" s="5" t="s">
        <v>7</v>
      </c>
      <c r="C116" s="5" t="s">
        <v>201</v>
      </c>
      <c r="D116" s="5" t="s">
        <v>16</v>
      </c>
      <c r="E116" s="5" t="str">
        <f t="shared" si="8"/>
        <v>986-0861</v>
      </c>
      <c r="F116" s="5" t="s">
        <v>17</v>
      </c>
      <c r="G116" s="5" t="str">
        <f t="shared" si="9"/>
        <v xml:space="preserve">0225-21-7220  </v>
      </c>
      <c r="H116" s="5" t="s">
        <v>202</v>
      </c>
    </row>
    <row r="117" spans="1:8" x14ac:dyDescent="0.4">
      <c r="A117" s="4">
        <v>116</v>
      </c>
      <c r="B117" s="5" t="s">
        <v>7</v>
      </c>
      <c r="C117" s="5" t="s">
        <v>203</v>
      </c>
      <c r="D117" s="5" t="s">
        <v>16</v>
      </c>
      <c r="E117" s="5" t="str">
        <f t="shared" si="8"/>
        <v>986-0861</v>
      </c>
      <c r="F117" s="5" t="s">
        <v>17</v>
      </c>
      <c r="G117" s="5" t="str">
        <f t="shared" si="9"/>
        <v xml:space="preserve">0225-21-7220  </v>
      </c>
      <c r="H117" s="5" t="s">
        <v>204</v>
      </c>
    </row>
    <row r="118" spans="1:8" x14ac:dyDescent="0.4">
      <c r="A118" s="4">
        <v>117</v>
      </c>
      <c r="B118" s="5" t="s">
        <v>7</v>
      </c>
      <c r="C118" s="5" t="s">
        <v>205</v>
      </c>
      <c r="D118" s="5" t="s">
        <v>16</v>
      </c>
      <c r="E118" s="5" t="str">
        <f t="shared" si="8"/>
        <v>986-0861</v>
      </c>
      <c r="F118" s="5" t="s">
        <v>17</v>
      </c>
      <c r="G118" s="5" t="str">
        <f t="shared" si="9"/>
        <v xml:space="preserve">0225-21-7220  </v>
      </c>
      <c r="H118" s="5" t="s">
        <v>31</v>
      </c>
    </row>
    <row r="119" spans="1:8" x14ac:dyDescent="0.4">
      <c r="A119" s="4">
        <v>118</v>
      </c>
      <c r="B119" s="5" t="s">
        <v>7</v>
      </c>
      <c r="C119" s="5" t="s">
        <v>206</v>
      </c>
      <c r="D119" s="5" t="s">
        <v>16</v>
      </c>
      <c r="E119" s="5" t="str">
        <f>"986-8522"</f>
        <v>986-8522</v>
      </c>
      <c r="F119" s="5" t="s">
        <v>17</v>
      </c>
      <c r="G119" s="5" t="str">
        <f t="shared" si="9"/>
        <v xml:space="preserve">0225-21-7220  </v>
      </c>
      <c r="H119" s="5" t="s">
        <v>29</v>
      </c>
    </row>
    <row r="120" spans="1:8" x14ac:dyDescent="0.4">
      <c r="A120" s="4">
        <v>119</v>
      </c>
      <c r="B120" s="5" t="s">
        <v>7</v>
      </c>
      <c r="C120" s="5" t="s">
        <v>207</v>
      </c>
      <c r="D120" s="5" t="s">
        <v>16</v>
      </c>
      <c r="E120" s="5" t="str">
        <f>"986-8522"</f>
        <v>986-8522</v>
      </c>
      <c r="F120" s="5" t="s">
        <v>17</v>
      </c>
      <c r="G120" s="5" t="str">
        <f t="shared" si="9"/>
        <v xml:space="preserve">0225-21-7220  </v>
      </c>
      <c r="H120" s="5" t="s">
        <v>14</v>
      </c>
    </row>
    <row r="121" spans="1:8" x14ac:dyDescent="0.4">
      <c r="A121" s="4">
        <v>120</v>
      </c>
      <c r="B121" s="5" t="s">
        <v>7</v>
      </c>
      <c r="C121" s="5" t="s">
        <v>208</v>
      </c>
      <c r="D121" s="5" t="s">
        <v>16</v>
      </c>
      <c r="E121" s="5" t="str">
        <f t="shared" ref="E121:E139" si="10">"986-0861"</f>
        <v>986-0861</v>
      </c>
      <c r="F121" s="5" t="s">
        <v>17</v>
      </c>
      <c r="G121" s="5" t="str">
        <f t="shared" si="9"/>
        <v xml:space="preserve">0225-21-7220  </v>
      </c>
      <c r="H121" s="5" t="s">
        <v>14</v>
      </c>
    </row>
    <row r="122" spans="1:8" x14ac:dyDescent="0.4">
      <c r="A122" s="4">
        <v>121</v>
      </c>
      <c r="B122" s="5" t="s">
        <v>7</v>
      </c>
      <c r="C122" s="5" t="s">
        <v>209</v>
      </c>
      <c r="D122" s="5" t="s">
        <v>16</v>
      </c>
      <c r="E122" s="5" t="str">
        <f t="shared" si="10"/>
        <v>986-0861</v>
      </c>
      <c r="F122" s="5" t="s">
        <v>17</v>
      </c>
      <c r="G122" s="5" t="str">
        <f t="shared" si="9"/>
        <v xml:space="preserve">0225-21-7220  </v>
      </c>
      <c r="H122" s="5" t="s">
        <v>202</v>
      </c>
    </row>
    <row r="123" spans="1:8" x14ac:dyDescent="0.4">
      <c r="A123" s="4">
        <v>122</v>
      </c>
      <c r="B123" s="5" t="s">
        <v>7</v>
      </c>
      <c r="C123" s="5" t="s">
        <v>211</v>
      </c>
      <c r="D123" s="5" t="s">
        <v>16</v>
      </c>
      <c r="E123" s="5" t="str">
        <f t="shared" si="10"/>
        <v>986-0861</v>
      </c>
      <c r="F123" s="5" t="s">
        <v>17</v>
      </c>
      <c r="G123" s="5" t="str">
        <f t="shared" si="9"/>
        <v xml:space="preserve">0225-21-7220  </v>
      </c>
      <c r="H123" s="5" t="s">
        <v>23</v>
      </c>
    </row>
    <row r="124" spans="1:8" x14ac:dyDescent="0.4">
      <c r="A124" s="4">
        <v>123</v>
      </c>
      <c r="B124" s="5" t="s">
        <v>7</v>
      </c>
      <c r="C124" s="5" t="s">
        <v>246</v>
      </c>
      <c r="D124" s="5" t="s">
        <v>16</v>
      </c>
      <c r="E124" s="5" t="str">
        <f t="shared" si="10"/>
        <v>986-0861</v>
      </c>
      <c r="F124" s="5" t="s">
        <v>17</v>
      </c>
      <c r="G124" s="5" t="str">
        <f t="shared" si="9"/>
        <v xml:space="preserve">0225-21-7220  </v>
      </c>
      <c r="H124" s="5" t="s">
        <v>33</v>
      </c>
    </row>
    <row r="125" spans="1:8" x14ac:dyDescent="0.4">
      <c r="A125" s="4">
        <v>124</v>
      </c>
      <c r="B125" s="5" t="s">
        <v>7</v>
      </c>
      <c r="C125" s="5" t="s">
        <v>250</v>
      </c>
      <c r="D125" s="5" t="s">
        <v>16</v>
      </c>
      <c r="E125" s="5" t="str">
        <f t="shared" si="10"/>
        <v>986-0861</v>
      </c>
      <c r="F125" s="5" t="s">
        <v>17</v>
      </c>
      <c r="G125" s="5" t="str">
        <f t="shared" si="9"/>
        <v xml:space="preserve">0225-21-7220  </v>
      </c>
      <c r="H125" s="5" t="s">
        <v>163</v>
      </c>
    </row>
    <row r="126" spans="1:8" x14ac:dyDescent="0.4">
      <c r="A126" s="4">
        <v>125</v>
      </c>
      <c r="B126" s="5" t="s">
        <v>7</v>
      </c>
      <c r="C126" s="5" t="s">
        <v>282</v>
      </c>
      <c r="D126" s="5" t="s">
        <v>16</v>
      </c>
      <c r="E126" s="5" t="str">
        <f t="shared" si="10"/>
        <v>986-0861</v>
      </c>
      <c r="F126" s="5" t="s">
        <v>283</v>
      </c>
      <c r="G126" s="5" t="str">
        <f t="shared" si="9"/>
        <v xml:space="preserve">0225-21-7220  </v>
      </c>
      <c r="H126" s="5" t="s">
        <v>284</v>
      </c>
    </row>
    <row r="127" spans="1:8" x14ac:dyDescent="0.4">
      <c r="A127" s="4">
        <v>126</v>
      </c>
      <c r="B127" s="5" t="s">
        <v>7</v>
      </c>
      <c r="C127" s="5" t="s">
        <v>332</v>
      </c>
      <c r="D127" s="5" t="s">
        <v>16</v>
      </c>
      <c r="E127" s="5" t="str">
        <f t="shared" si="10"/>
        <v>986-0861</v>
      </c>
      <c r="F127" s="5" t="s">
        <v>17</v>
      </c>
      <c r="G127" s="5" t="str">
        <f t="shared" si="9"/>
        <v xml:space="preserve">0225-21-7220  </v>
      </c>
      <c r="H127" s="5" t="s">
        <v>33</v>
      </c>
    </row>
    <row r="128" spans="1:8" x14ac:dyDescent="0.4">
      <c r="A128" s="4">
        <v>127</v>
      </c>
      <c r="B128" s="5" t="s">
        <v>7</v>
      </c>
      <c r="C128" s="5" t="s">
        <v>333</v>
      </c>
      <c r="D128" s="5" t="s">
        <v>16</v>
      </c>
      <c r="E128" s="5" t="str">
        <f t="shared" si="10"/>
        <v>986-0861</v>
      </c>
      <c r="F128" s="5" t="s">
        <v>17</v>
      </c>
      <c r="G128" s="5" t="str">
        <f t="shared" si="9"/>
        <v xml:space="preserve">0225-21-7220  </v>
      </c>
      <c r="H128" s="5" t="s">
        <v>31</v>
      </c>
    </row>
    <row r="129" spans="1:8" x14ac:dyDescent="0.4">
      <c r="A129" s="4">
        <v>128</v>
      </c>
      <c r="B129" s="5" t="s">
        <v>7</v>
      </c>
      <c r="C129" s="5" t="s">
        <v>350</v>
      </c>
      <c r="D129" s="5" t="s">
        <v>16</v>
      </c>
      <c r="E129" s="5" t="str">
        <f t="shared" si="10"/>
        <v>986-0861</v>
      </c>
      <c r="F129" s="5" t="s">
        <v>351</v>
      </c>
      <c r="G129" s="5" t="str">
        <f t="shared" si="9"/>
        <v xml:space="preserve">0225-21-7220  </v>
      </c>
      <c r="H129" s="5" t="s">
        <v>22</v>
      </c>
    </row>
    <row r="130" spans="1:8" x14ac:dyDescent="0.4">
      <c r="A130" s="4">
        <v>129</v>
      </c>
      <c r="B130" s="5" t="s">
        <v>7</v>
      </c>
      <c r="C130" s="5" t="s">
        <v>366</v>
      </c>
      <c r="D130" s="5" t="s">
        <v>16</v>
      </c>
      <c r="E130" s="5" t="str">
        <f t="shared" si="10"/>
        <v>986-0861</v>
      </c>
      <c r="F130" s="5" t="s">
        <v>283</v>
      </c>
      <c r="G130" s="5" t="str">
        <f t="shared" si="9"/>
        <v xml:space="preserve">0225-21-7220  </v>
      </c>
      <c r="H130" s="5" t="s">
        <v>22</v>
      </c>
    </row>
    <row r="131" spans="1:8" x14ac:dyDescent="0.4">
      <c r="A131" s="4">
        <v>130</v>
      </c>
      <c r="B131" s="5" t="s">
        <v>7</v>
      </c>
      <c r="C131" s="5" t="s">
        <v>377</v>
      </c>
      <c r="D131" s="5" t="s">
        <v>16</v>
      </c>
      <c r="E131" s="5" t="str">
        <f t="shared" si="10"/>
        <v>986-0861</v>
      </c>
      <c r="F131" s="5" t="s">
        <v>351</v>
      </c>
      <c r="G131" s="5" t="str">
        <f>"0225-92-0122  "</f>
        <v xml:space="preserve">0225-92-0122  </v>
      </c>
      <c r="H131" s="5" t="s">
        <v>135</v>
      </c>
    </row>
    <row r="132" spans="1:8" x14ac:dyDescent="0.4">
      <c r="A132" s="4">
        <v>131</v>
      </c>
      <c r="B132" s="5" t="s">
        <v>7</v>
      </c>
      <c r="C132" s="5" t="s">
        <v>381</v>
      </c>
      <c r="D132" s="5" t="s">
        <v>16</v>
      </c>
      <c r="E132" s="5" t="str">
        <f t="shared" si="10"/>
        <v>986-0861</v>
      </c>
      <c r="F132" s="5" t="s">
        <v>351</v>
      </c>
      <c r="G132" s="5" t="str">
        <f t="shared" ref="G132:G138" si="11">"0225-21-7220  "</f>
        <v xml:space="preserve">0225-21-7220  </v>
      </c>
      <c r="H132" s="5" t="s">
        <v>382</v>
      </c>
    </row>
    <row r="133" spans="1:8" x14ac:dyDescent="0.4">
      <c r="A133" s="4">
        <v>132</v>
      </c>
      <c r="B133" s="5" t="s">
        <v>7</v>
      </c>
      <c r="C133" s="5" t="s">
        <v>398</v>
      </c>
      <c r="D133" s="5" t="s">
        <v>16</v>
      </c>
      <c r="E133" s="5" t="str">
        <f t="shared" si="10"/>
        <v>986-0861</v>
      </c>
      <c r="F133" s="5" t="s">
        <v>351</v>
      </c>
      <c r="G133" s="5" t="str">
        <f t="shared" si="11"/>
        <v xml:space="preserve">0225-21-7220  </v>
      </c>
      <c r="H133" s="5" t="s">
        <v>163</v>
      </c>
    </row>
    <row r="134" spans="1:8" ht="37.5" x14ac:dyDescent="0.4">
      <c r="A134" s="4">
        <v>133</v>
      </c>
      <c r="B134" s="5" t="s">
        <v>424</v>
      </c>
      <c r="C134" s="5" t="s">
        <v>506</v>
      </c>
      <c r="D134" s="5" t="s">
        <v>16</v>
      </c>
      <c r="E134" s="5" t="str">
        <f t="shared" si="10"/>
        <v>986-0861</v>
      </c>
      <c r="F134" s="5" t="s">
        <v>351</v>
      </c>
      <c r="G134" s="5" t="str">
        <f t="shared" si="11"/>
        <v xml:space="preserve">0225-21-7220  </v>
      </c>
      <c r="H134" s="5" t="s">
        <v>22</v>
      </c>
    </row>
    <row r="135" spans="1:8" x14ac:dyDescent="0.4">
      <c r="A135" s="4">
        <v>134</v>
      </c>
      <c r="B135" s="5" t="s">
        <v>7</v>
      </c>
      <c r="C135" s="5" t="s">
        <v>262</v>
      </c>
      <c r="D135" s="5" t="s">
        <v>16</v>
      </c>
      <c r="E135" s="5" t="str">
        <f t="shared" si="10"/>
        <v>986-0861</v>
      </c>
      <c r="F135" s="5" t="s">
        <v>263</v>
      </c>
      <c r="G135" s="5" t="str">
        <f t="shared" si="11"/>
        <v xml:space="preserve">0225-21-7220  </v>
      </c>
      <c r="H135" s="5" t="s">
        <v>200</v>
      </c>
    </row>
    <row r="136" spans="1:8" x14ac:dyDescent="0.4">
      <c r="A136" s="4">
        <v>135</v>
      </c>
      <c r="B136" s="5" t="s">
        <v>7</v>
      </c>
      <c r="C136" s="5" t="s">
        <v>301</v>
      </c>
      <c r="D136" s="5" t="s">
        <v>16</v>
      </c>
      <c r="E136" s="5" t="str">
        <f t="shared" si="10"/>
        <v>986-0861</v>
      </c>
      <c r="F136" s="5" t="s">
        <v>302</v>
      </c>
      <c r="G136" s="5" t="str">
        <f t="shared" si="11"/>
        <v xml:space="preserve">0225-21-7220  </v>
      </c>
      <c r="H136" s="5" t="s">
        <v>23</v>
      </c>
    </row>
    <row r="137" spans="1:8" x14ac:dyDescent="0.4">
      <c r="A137" s="4">
        <v>136</v>
      </c>
      <c r="B137" s="5" t="s">
        <v>7</v>
      </c>
      <c r="C137" s="5" t="s">
        <v>303</v>
      </c>
      <c r="D137" s="5" t="s">
        <v>16</v>
      </c>
      <c r="E137" s="5" t="str">
        <f t="shared" si="10"/>
        <v>986-0861</v>
      </c>
      <c r="F137" s="5" t="s">
        <v>302</v>
      </c>
      <c r="G137" s="5" t="str">
        <f t="shared" si="11"/>
        <v xml:space="preserve">0225-21-7220  </v>
      </c>
      <c r="H137" s="5" t="s">
        <v>29</v>
      </c>
    </row>
    <row r="138" spans="1:8" x14ac:dyDescent="0.4">
      <c r="A138" s="4">
        <v>137</v>
      </c>
      <c r="B138" s="5" t="s">
        <v>7</v>
      </c>
      <c r="C138" s="5" t="s">
        <v>339</v>
      </c>
      <c r="D138" s="5" t="s">
        <v>16</v>
      </c>
      <c r="E138" s="5" t="str">
        <f t="shared" si="10"/>
        <v>986-0861</v>
      </c>
      <c r="F138" s="5" t="s">
        <v>302</v>
      </c>
      <c r="G138" s="5" t="str">
        <f t="shared" si="11"/>
        <v xml:space="preserve">0225-21-7220  </v>
      </c>
      <c r="H138" s="5" t="s">
        <v>29</v>
      </c>
    </row>
    <row r="139" spans="1:8" x14ac:dyDescent="0.4">
      <c r="A139" s="4">
        <v>138</v>
      </c>
      <c r="B139" s="5" t="s">
        <v>7</v>
      </c>
      <c r="C139" s="5" t="s">
        <v>264</v>
      </c>
      <c r="D139" s="5" t="s">
        <v>265</v>
      </c>
      <c r="E139" s="5" t="str">
        <f t="shared" si="10"/>
        <v>986-0861</v>
      </c>
      <c r="F139" s="5" t="str">
        <f>"石巻市蛇田字東道下48-1"</f>
        <v>石巻市蛇田字東道下48-1</v>
      </c>
      <c r="G139" s="5" t="str">
        <f>"0225-23-2111  "</f>
        <v xml:space="preserve">0225-23-2111  </v>
      </c>
      <c r="H139" s="5" t="s">
        <v>111</v>
      </c>
    </row>
    <row r="140" spans="1:8" x14ac:dyDescent="0.4">
      <c r="A140" s="4">
        <v>139</v>
      </c>
      <c r="B140" s="5" t="s">
        <v>7</v>
      </c>
      <c r="C140" s="5" t="s">
        <v>83</v>
      </c>
      <c r="D140" s="5" t="s">
        <v>84</v>
      </c>
      <c r="E140" s="5" t="str">
        <f>"986-0878"</f>
        <v>986-0878</v>
      </c>
      <c r="F140" s="5" t="str">
        <f>"石巻市新橋３－１１"</f>
        <v>石巻市新橋３－１１</v>
      </c>
      <c r="G140" s="5" t="str">
        <f>"0225-25-7315  "</f>
        <v xml:space="preserve">0225-25-7315  </v>
      </c>
      <c r="H140" s="5" t="s">
        <v>10</v>
      </c>
    </row>
    <row r="141" spans="1:8" ht="56.25" x14ac:dyDescent="0.4">
      <c r="A141" s="4">
        <v>140</v>
      </c>
      <c r="B141" s="5" t="s">
        <v>7</v>
      </c>
      <c r="C141" s="5" t="s">
        <v>308</v>
      </c>
      <c r="D141" s="5" t="s">
        <v>309</v>
      </c>
      <c r="E141" s="5" t="str">
        <f>"986-0859"</f>
        <v>986-0859</v>
      </c>
      <c r="F141" s="5" t="str">
        <f>"石巻市大街道西３－３－２７"</f>
        <v>石巻市大街道西３－３－２７</v>
      </c>
      <c r="G141" s="5" t="str">
        <f>"0225-94-9195  "</f>
        <v xml:space="preserve">0225-94-9195  </v>
      </c>
      <c r="H141" s="5" t="s">
        <v>310</v>
      </c>
    </row>
    <row r="142" spans="1:8" ht="37.5" x14ac:dyDescent="0.4">
      <c r="A142" s="4">
        <v>141</v>
      </c>
      <c r="B142" s="5" t="s">
        <v>7</v>
      </c>
      <c r="C142" s="5" t="s">
        <v>412</v>
      </c>
      <c r="D142" s="5" t="s">
        <v>413</v>
      </c>
      <c r="E142" s="5" t="str">
        <f>"986-0859"</f>
        <v>986-0859</v>
      </c>
      <c r="F142" s="5" t="str">
        <f>"石巻市大街道西3-3-27"</f>
        <v>石巻市大街道西3-3-27</v>
      </c>
      <c r="G142" s="5" t="str">
        <f>"0225-94-9195  "</f>
        <v xml:space="preserve">0225-94-9195  </v>
      </c>
      <c r="H142" s="5" t="s">
        <v>261</v>
      </c>
    </row>
    <row r="143" spans="1:8" ht="37.5" x14ac:dyDescent="0.4">
      <c r="A143" s="4">
        <v>142</v>
      </c>
      <c r="B143" s="5" t="s">
        <v>424</v>
      </c>
      <c r="C143" s="5" t="s">
        <v>444</v>
      </c>
      <c r="D143" s="5" t="s">
        <v>445</v>
      </c>
      <c r="E143" s="5" t="str">
        <f>"986-0847"</f>
        <v>986-0847</v>
      </c>
      <c r="F143" s="5" t="s">
        <v>446</v>
      </c>
      <c r="G143" s="5" t="str">
        <f>"0225-21-7551  "</f>
        <v xml:space="preserve">0225-21-7551  </v>
      </c>
      <c r="H143" s="5" t="s">
        <v>179</v>
      </c>
    </row>
    <row r="144" spans="1:8" ht="37.5" x14ac:dyDescent="0.4">
      <c r="A144" s="4">
        <v>143</v>
      </c>
      <c r="B144" s="5" t="s">
        <v>424</v>
      </c>
      <c r="C144" s="5" t="s">
        <v>447</v>
      </c>
      <c r="D144" s="5" t="s">
        <v>445</v>
      </c>
      <c r="E144" s="5" t="str">
        <f>"986-0847"</f>
        <v>986-0847</v>
      </c>
      <c r="F144" s="5" t="s">
        <v>448</v>
      </c>
      <c r="G144" s="5" t="str">
        <f>"0225-21-7551  "</f>
        <v xml:space="preserve">0225-21-7551  </v>
      </c>
      <c r="H144" s="5" t="s">
        <v>179</v>
      </c>
    </row>
    <row r="145" spans="1:8" ht="37.5" x14ac:dyDescent="0.4">
      <c r="A145" s="4">
        <v>144</v>
      </c>
      <c r="B145" s="5" t="s">
        <v>7</v>
      </c>
      <c r="C145" s="5" t="s">
        <v>46</v>
      </c>
      <c r="D145" s="5" t="s">
        <v>47</v>
      </c>
      <c r="E145" s="5" t="str">
        <f>"986-0313"</f>
        <v>986-0313</v>
      </c>
      <c r="F145" s="5" t="str">
        <f>"石巻市桃生町中津山字八木167-4"</f>
        <v>石巻市桃生町中津山字八木167-4</v>
      </c>
      <c r="G145" s="5" t="str">
        <f>"0225-76-4024  "</f>
        <v xml:space="preserve">0225-76-4024  </v>
      </c>
      <c r="H145" s="5" t="s">
        <v>22</v>
      </c>
    </row>
    <row r="146" spans="1:8" x14ac:dyDescent="0.4">
      <c r="A146" s="4">
        <v>145</v>
      </c>
      <c r="B146" s="5" t="s">
        <v>7</v>
      </c>
      <c r="C146" s="5" t="s">
        <v>232</v>
      </c>
      <c r="D146" s="5" t="s">
        <v>233</v>
      </c>
      <c r="E146" s="5" t="str">
        <f>"987-1102"</f>
        <v>987-1102</v>
      </c>
      <c r="F146" s="5" t="s">
        <v>234</v>
      </c>
      <c r="G146" s="5" t="str">
        <f>"0225-72-3122  "</f>
        <v xml:space="preserve">0225-72-3122  </v>
      </c>
      <c r="H146" s="5" t="s">
        <v>22</v>
      </c>
    </row>
    <row r="147" spans="1:8" ht="37.5" x14ac:dyDescent="0.4">
      <c r="A147" s="4">
        <v>146</v>
      </c>
      <c r="B147" s="5" t="s">
        <v>7</v>
      </c>
      <c r="C147" s="5" t="s">
        <v>138</v>
      </c>
      <c r="D147" s="5" t="s">
        <v>139</v>
      </c>
      <c r="E147" s="5" t="str">
        <f>"985-0835"</f>
        <v>985-0835</v>
      </c>
      <c r="F147" s="5" t="str">
        <f>"多賀城市下馬２－１３－７"</f>
        <v>多賀城市下馬２－１３－７</v>
      </c>
      <c r="G147" s="5" t="str">
        <f>"022-361-7011  "</f>
        <v xml:space="preserve">022-361-7011  </v>
      </c>
      <c r="H147" s="5" t="s">
        <v>135</v>
      </c>
    </row>
    <row r="148" spans="1:8" x14ac:dyDescent="0.4">
      <c r="A148" s="4">
        <v>147</v>
      </c>
      <c r="B148" s="5" t="s">
        <v>7</v>
      </c>
      <c r="C148" s="5" t="s">
        <v>144</v>
      </c>
      <c r="D148" s="5" t="s">
        <v>145</v>
      </c>
      <c r="E148" s="5" t="str">
        <f>"985-0853"</f>
        <v>985-0853</v>
      </c>
      <c r="F148" s="5" t="str">
        <f>"多賀城市高橋２－１９－１６"</f>
        <v>多賀城市高橋２－１９－１６</v>
      </c>
      <c r="G148" s="5" t="str">
        <f>"022-389-1123  "</f>
        <v xml:space="preserve">022-389-1123  </v>
      </c>
      <c r="H148" s="5" t="s">
        <v>48</v>
      </c>
    </row>
    <row r="149" spans="1:8" ht="56.25" x14ac:dyDescent="0.4">
      <c r="A149" s="4">
        <v>148</v>
      </c>
      <c r="B149" s="5" t="s">
        <v>7</v>
      </c>
      <c r="C149" s="5" t="s">
        <v>352</v>
      </c>
      <c r="D149" s="5" t="s">
        <v>353</v>
      </c>
      <c r="E149" s="5" t="str">
        <f>"985-0865"</f>
        <v>985-0865</v>
      </c>
      <c r="F149" s="5" t="s">
        <v>354</v>
      </c>
      <c r="G149" s="5" t="str">
        <f>"022-355-5415  "</f>
        <v xml:space="preserve">022-355-5415  </v>
      </c>
      <c r="H149" s="5" t="s">
        <v>355</v>
      </c>
    </row>
    <row r="150" spans="1:8" x14ac:dyDescent="0.4">
      <c r="A150" s="4">
        <v>149</v>
      </c>
      <c r="B150" s="5" t="s">
        <v>7</v>
      </c>
      <c r="C150" s="5" t="s">
        <v>180</v>
      </c>
      <c r="D150" s="5" t="s">
        <v>181</v>
      </c>
      <c r="E150" s="5" t="str">
        <f>"985-0832"</f>
        <v>985-0832</v>
      </c>
      <c r="F150" s="5" t="s">
        <v>182</v>
      </c>
      <c r="G150" s="5" t="str">
        <f>"022-365-5050  "</f>
        <v xml:space="preserve">022-365-5050  </v>
      </c>
      <c r="H150" s="5" t="s">
        <v>111</v>
      </c>
    </row>
    <row r="151" spans="1:8" ht="37.5" x14ac:dyDescent="0.4">
      <c r="A151" s="4">
        <v>150</v>
      </c>
      <c r="B151" s="5" t="s">
        <v>7</v>
      </c>
      <c r="C151" s="5" t="s">
        <v>305</v>
      </c>
      <c r="D151" s="5" t="s">
        <v>306</v>
      </c>
      <c r="E151" s="5" t="str">
        <f>"985-0863"</f>
        <v>985-0863</v>
      </c>
      <c r="F151" s="5" t="str">
        <f>"多賀城市東田中字志引85-1"</f>
        <v>多賀城市東田中字志引85-1</v>
      </c>
      <c r="G151" s="5" t="str">
        <f>"022-354-0231  "</f>
        <v xml:space="preserve">022-354-0231  </v>
      </c>
      <c r="H151" s="5" t="s">
        <v>307</v>
      </c>
    </row>
    <row r="152" spans="1:8" x14ac:dyDescent="0.4">
      <c r="A152" s="4">
        <v>151</v>
      </c>
      <c r="B152" s="5" t="s">
        <v>7</v>
      </c>
      <c r="C152" s="5" t="s">
        <v>168</v>
      </c>
      <c r="D152" s="5" t="s">
        <v>169</v>
      </c>
      <c r="E152" s="5" t="str">
        <f>"985-0874"</f>
        <v>985-0874</v>
      </c>
      <c r="F152" s="5" t="s">
        <v>170</v>
      </c>
      <c r="G152" s="5" t="str">
        <f>"022-364-1312  "</f>
        <v xml:space="preserve">022-364-1312  </v>
      </c>
      <c r="H152" s="5" t="s">
        <v>171</v>
      </c>
    </row>
    <row r="153" spans="1:8" x14ac:dyDescent="0.4">
      <c r="A153" s="4">
        <v>152</v>
      </c>
      <c r="B153" s="5" t="s">
        <v>7</v>
      </c>
      <c r="C153" s="5" t="s">
        <v>105</v>
      </c>
      <c r="D153" s="5" t="s">
        <v>106</v>
      </c>
      <c r="E153" s="5" t="str">
        <f>"989-6161"</f>
        <v>989-6161</v>
      </c>
      <c r="F153" s="5" t="str">
        <f>"大崎市古川駅南1-8-1"</f>
        <v>大崎市古川駅南1-8-1</v>
      </c>
      <c r="G153" s="5" t="str">
        <f>"0229-91-8741  "</f>
        <v xml:space="preserve">0229-91-8741  </v>
      </c>
      <c r="H153" s="5" t="s">
        <v>89</v>
      </c>
    </row>
    <row r="154" spans="1:8" ht="56.25" x14ac:dyDescent="0.4">
      <c r="A154" s="4">
        <v>153</v>
      </c>
      <c r="B154" s="5" t="s">
        <v>7</v>
      </c>
      <c r="C154" s="5" t="s">
        <v>346</v>
      </c>
      <c r="D154" s="5" t="s">
        <v>347</v>
      </c>
      <c r="E154" s="5" t="str">
        <f>"989-6154"</f>
        <v>989-6154</v>
      </c>
      <c r="F154" s="5" t="str">
        <f>"大崎市古川三日町１－３－２５"</f>
        <v>大崎市古川三日町１－３－２５</v>
      </c>
      <c r="G154" s="5" t="str">
        <f>"0229-91-1020  "</f>
        <v xml:space="preserve">0229-91-1020  </v>
      </c>
      <c r="H154" s="5" t="s">
        <v>348</v>
      </c>
    </row>
    <row r="155" spans="1:8" x14ac:dyDescent="0.4">
      <c r="A155" s="4">
        <v>154</v>
      </c>
      <c r="B155" s="5" t="s">
        <v>7</v>
      </c>
      <c r="C155" s="5" t="s">
        <v>251</v>
      </c>
      <c r="D155" s="5" t="s">
        <v>252</v>
      </c>
      <c r="E155" s="5" t="str">
        <f>"989-6165"</f>
        <v>989-6165</v>
      </c>
      <c r="F155" s="5" t="str">
        <f>"大崎市古川十日町３－１３"</f>
        <v>大崎市古川十日町３－１３</v>
      </c>
      <c r="G155" s="5" t="str">
        <f>"0229-22-0320  "</f>
        <v xml:space="preserve">0229-22-0320  </v>
      </c>
      <c r="H155" s="5" t="s">
        <v>48</v>
      </c>
    </row>
    <row r="156" spans="1:8" ht="37.5" x14ac:dyDescent="0.4">
      <c r="A156" s="4">
        <v>155</v>
      </c>
      <c r="B156" s="5" t="s">
        <v>7</v>
      </c>
      <c r="C156" s="5" t="s">
        <v>42</v>
      </c>
      <c r="D156" s="5" t="s">
        <v>43</v>
      </c>
      <c r="E156" s="5" t="str">
        <f>"989-6163"</f>
        <v>989-6163</v>
      </c>
      <c r="F156" s="5" t="str">
        <f>"大崎市古川台町　４－３６"</f>
        <v>大崎市古川台町　４－３６</v>
      </c>
      <c r="G156" s="5" t="str">
        <f>"0229-22-6111  "</f>
        <v xml:space="preserve">0229-22-6111  </v>
      </c>
      <c r="H156" s="5" t="s">
        <v>10</v>
      </c>
    </row>
    <row r="157" spans="1:8" ht="37.5" x14ac:dyDescent="0.4">
      <c r="A157" s="4">
        <v>156</v>
      </c>
      <c r="B157" s="5" t="s">
        <v>7</v>
      </c>
      <c r="C157" s="5" t="s">
        <v>44</v>
      </c>
      <c r="D157" s="5" t="s">
        <v>43</v>
      </c>
      <c r="E157" s="5" t="str">
        <f>"989-6163"</f>
        <v>989-6163</v>
      </c>
      <c r="F157" s="5" t="str">
        <f>"大崎市古川台町　４－３６"</f>
        <v>大崎市古川台町　４－３６</v>
      </c>
      <c r="G157" s="5" t="str">
        <f>"0229-22-6111  "</f>
        <v xml:space="preserve">0229-22-6111  </v>
      </c>
      <c r="H157" s="5" t="s">
        <v>10</v>
      </c>
    </row>
    <row r="158" spans="1:8" ht="37.5" x14ac:dyDescent="0.4">
      <c r="A158" s="4">
        <v>157</v>
      </c>
      <c r="B158" s="5" t="s">
        <v>7</v>
      </c>
      <c r="C158" s="5" t="s">
        <v>45</v>
      </c>
      <c r="D158" s="5" t="s">
        <v>43</v>
      </c>
      <c r="E158" s="5" t="str">
        <f>"989-6163"</f>
        <v>989-6163</v>
      </c>
      <c r="F158" s="5" t="str">
        <f>"大崎市古川台町　４－３６"</f>
        <v>大崎市古川台町　４－３６</v>
      </c>
      <c r="G158" s="5" t="str">
        <f>"0229-22-6111  "</f>
        <v xml:space="preserve">0229-22-6111  </v>
      </c>
      <c r="H158" s="5" t="s">
        <v>10</v>
      </c>
    </row>
    <row r="159" spans="1:8" ht="37.5" x14ac:dyDescent="0.4">
      <c r="A159" s="4">
        <v>158</v>
      </c>
      <c r="B159" s="5" t="s">
        <v>424</v>
      </c>
      <c r="C159" s="5" t="s">
        <v>474</v>
      </c>
      <c r="D159" s="5" t="s">
        <v>475</v>
      </c>
      <c r="E159" s="5" t="str">
        <f>"989-6221"</f>
        <v>989-6221</v>
      </c>
      <c r="F159" s="5" t="str">
        <f>"大崎市古川大宮　８－９－１５"</f>
        <v>大崎市古川大宮　８－９－１５</v>
      </c>
      <c r="G159" s="5" t="str">
        <f>"0229-23-4456  "</f>
        <v xml:space="preserve">0229-23-4456  </v>
      </c>
      <c r="H159" s="5" t="s">
        <v>179</v>
      </c>
    </row>
    <row r="160" spans="1:8" ht="37.5" x14ac:dyDescent="0.4">
      <c r="A160" s="4">
        <v>159</v>
      </c>
      <c r="B160" s="5" t="s">
        <v>7</v>
      </c>
      <c r="C160" s="5" t="s">
        <v>152</v>
      </c>
      <c r="D160" s="5" t="s">
        <v>153</v>
      </c>
      <c r="E160" s="5" t="str">
        <f>"989-6221"</f>
        <v>989-6221</v>
      </c>
      <c r="F160" s="5" t="str">
        <f>"大崎市古川大宮1-1-79"</f>
        <v>大崎市古川大宮1-1-79</v>
      </c>
      <c r="G160" s="5" t="str">
        <f>"0229-23-5677  "</f>
        <v xml:space="preserve">0229-23-5677  </v>
      </c>
      <c r="H160" s="5" t="s">
        <v>22</v>
      </c>
    </row>
    <row r="161" spans="1:8" x14ac:dyDescent="0.4">
      <c r="A161" s="4">
        <v>160</v>
      </c>
      <c r="B161" s="5" t="s">
        <v>7</v>
      </c>
      <c r="C161" s="5" t="s">
        <v>126</v>
      </c>
      <c r="D161" s="5" t="s">
        <v>127</v>
      </c>
      <c r="E161" s="5" t="str">
        <f>"989-6143"</f>
        <v>989-6143</v>
      </c>
      <c r="F161" s="5" t="str">
        <f>"大崎市古川中里　１－３－１８"</f>
        <v>大崎市古川中里　１－３－１８</v>
      </c>
      <c r="G161" s="5" t="str">
        <f>"0229-22-0207  "</f>
        <v xml:space="preserve">0229-22-0207  </v>
      </c>
      <c r="H161" s="5" t="s">
        <v>33</v>
      </c>
    </row>
    <row r="162" spans="1:8" x14ac:dyDescent="0.4">
      <c r="A162" s="4">
        <v>161</v>
      </c>
      <c r="B162" s="5" t="s">
        <v>7</v>
      </c>
      <c r="C162" s="5" t="s">
        <v>212</v>
      </c>
      <c r="D162" s="5" t="s">
        <v>213</v>
      </c>
      <c r="E162" s="5" t="str">
        <f>"989-6155"</f>
        <v>989-6155</v>
      </c>
      <c r="F162" s="5" t="str">
        <f>"大崎市古川南町3-6-38"</f>
        <v>大崎市古川南町3-6-38</v>
      </c>
      <c r="G162" s="5" t="str">
        <f>"0229-23-5320  "</f>
        <v xml:space="preserve">0229-23-5320  </v>
      </c>
      <c r="H162" s="5" t="s">
        <v>189</v>
      </c>
    </row>
    <row r="163" spans="1:8" x14ac:dyDescent="0.4">
      <c r="A163" s="4">
        <v>162</v>
      </c>
      <c r="B163" s="5" t="s">
        <v>7</v>
      </c>
      <c r="C163" s="5" t="s">
        <v>268</v>
      </c>
      <c r="D163" s="5" t="s">
        <v>172</v>
      </c>
      <c r="E163" s="5" t="str">
        <f t="shared" ref="E163:E169" si="12">"989-6183"</f>
        <v>989-6183</v>
      </c>
      <c r="F163" s="5" t="str">
        <f>"大崎市古川穂波3-8-1"</f>
        <v>大崎市古川穂波3-8-1</v>
      </c>
      <c r="G163" s="5" t="str">
        <f t="shared" ref="G163:G169" si="13">"0229-23-3311  "</f>
        <v xml:space="preserve">0229-23-3311  </v>
      </c>
      <c r="H163" s="5" t="s">
        <v>269</v>
      </c>
    </row>
    <row r="164" spans="1:8" x14ac:dyDescent="0.4">
      <c r="A164" s="4">
        <v>163</v>
      </c>
      <c r="B164" s="5" t="s">
        <v>7</v>
      </c>
      <c r="C164" s="5" t="s">
        <v>399</v>
      </c>
      <c r="D164" s="5" t="s">
        <v>172</v>
      </c>
      <c r="E164" s="5" t="str">
        <f t="shared" si="12"/>
        <v>989-6183</v>
      </c>
      <c r="F164" s="5" t="str">
        <f>"大崎市古川穂波3-8-1"</f>
        <v>大崎市古川穂波3-8-1</v>
      </c>
      <c r="G164" s="5" t="str">
        <f t="shared" si="13"/>
        <v xml:space="preserve">0229-23-3311  </v>
      </c>
      <c r="H164" s="5" t="s">
        <v>22</v>
      </c>
    </row>
    <row r="165" spans="1:8" x14ac:dyDescent="0.4">
      <c r="A165" s="4">
        <v>164</v>
      </c>
      <c r="B165" s="5" t="s">
        <v>7</v>
      </c>
      <c r="C165" s="5" t="s">
        <v>314</v>
      </c>
      <c r="D165" s="5" t="s">
        <v>172</v>
      </c>
      <c r="E165" s="5" t="str">
        <f t="shared" si="12"/>
        <v>989-6183</v>
      </c>
      <c r="F165" s="5" t="s">
        <v>315</v>
      </c>
      <c r="G165" s="5" t="str">
        <f t="shared" si="13"/>
        <v xml:space="preserve">0229-23-3311  </v>
      </c>
      <c r="H165" s="5" t="s">
        <v>316</v>
      </c>
    </row>
    <row r="166" spans="1:8" x14ac:dyDescent="0.4">
      <c r="A166" s="4">
        <v>165</v>
      </c>
      <c r="B166" s="5" t="s">
        <v>7</v>
      </c>
      <c r="C166" s="5" t="s">
        <v>299</v>
      </c>
      <c r="D166" s="5" t="s">
        <v>172</v>
      </c>
      <c r="E166" s="5" t="str">
        <f t="shared" si="12"/>
        <v>989-6183</v>
      </c>
      <c r="F166" s="5" t="s">
        <v>300</v>
      </c>
      <c r="G166" s="5" t="str">
        <f t="shared" si="13"/>
        <v xml:space="preserve">0229-23-3311  </v>
      </c>
      <c r="H166" s="5" t="s">
        <v>22</v>
      </c>
    </row>
    <row r="167" spans="1:8" x14ac:dyDescent="0.4">
      <c r="A167" s="4">
        <v>166</v>
      </c>
      <c r="B167" s="5" t="s">
        <v>7</v>
      </c>
      <c r="C167" s="5" t="s">
        <v>357</v>
      </c>
      <c r="D167" s="5" t="s">
        <v>172</v>
      </c>
      <c r="E167" s="5" t="str">
        <f t="shared" si="12"/>
        <v>989-6183</v>
      </c>
      <c r="F167" s="5" t="s">
        <v>300</v>
      </c>
      <c r="G167" s="5" t="str">
        <f t="shared" si="13"/>
        <v xml:space="preserve">0229-23-3311  </v>
      </c>
      <c r="H167" s="5" t="s">
        <v>304</v>
      </c>
    </row>
    <row r="168" spans="1:8" x14ac:dyDescent="0.4">
      <c r="A168" s="4">
        <v>167</v>
      </c>
      <c r="B168" s="5" t="s">
        <v>7</v>
      </c>
      <c r="C168" s="5" t="s">
        <v>365</v>
      </c>
      <c r="D168" s="5" t="s">
        <v>172</v>
      </c>
      <c r="E168" s="5" t="str">
        <f t="shared" si="12"/>
        <v>989-6183</v>
      </c>
      <c r="F168" s="5" t="s">
        <v>300</v>
      </c>
      <c r="G168" s="5" t="str">
        <f t="shared" si="13"/>
        <v xml:space="preserve">0229-23-3311  </v>
      </c>
      <c r="H168" s="5" t="s">
        <v>22</v>
      </c>
    </row>
    <row r="169" spans="1:8" x14ac:dyDescent="0.4">
      <c r="A169" s="4">
        <v>168</v>
      </c>
      <c r="B169" s="5" t="s">
        <v>7</v>
      </c>
      <c r="C169" s="5" t="s">
        <v>407</v>
      </c>
      <c r="D169" s="5" t="s">
        <v>172</v>
      </c>
      <c r="E169" s="5" t="str">
        <f t="shared" si="12"/>
        <v>989-6183</v>
      </c>
      <c r="F169" s="5" t="s">
        <v>300</v>
      </c>
      <c r="G169" s="5" t="str">
        <f t="shared" si="13"/>
        <v xml:space="preserve">0229-23-3311  </v>
      </c>
      <c r="H169" s="5" t="s">
        <v>405</v>
      </c>
    </row>
    <row r="170" spans="1:8" x14ac:dyDescent="0.4">
      <c r="A170" s="4">
        <v>169</v>
      </c>
      <c r="B170" s="5" t="s">
        <v>7</v>
      </c>
      <c r="C170" s="5" t="s">
        <v>49</v>
      </c>
      <c r="D170" s="5" t="s">
        <v>50</v>
      </c>
      <c r="E170" s="5" t="str">
        <f>"989-4103"</f>
        <v>989-4103</v>
      </c>
      <c r="F170" s="5" t="str">
        <f>"大崎市鹿島台平渡字大沢21-18"</f>
        <v>大崎市鹿島台平渡字大沢21-18</v>
      </c>
      <c r="G170" s="5" t="str">
        <f>"0229-56-2431  "</f>
        <v xml:space="preserve">0229-56-2431  </v>
      </c>
      <c r="H170" s="5" t="s">
        <v>51</v>
      </c>
    </row>
    <row r="171" spans="1:8" ht="37.5" x14ac:dyDescent="0.4">
      <c r="A171" s="4">
        <v>170</v>
      </c>
      <c r="B171" s="5" t="s">
        <v>424</v>
      </c>
      <c r="C171" s="5" t="s">
        <v>481</v>
      </c>
      <c r="D171" s="5" t="s">
        <v>482</v>
      </c>
      <c r="E171" s="5" t="str">
        <f>"989-4103"</f>
        <v>989-4103</v>
      </c>
      <c r="F171" s="5" t="s">
        <v>483</v>
      </c>
      <c r="G171" s="5" t="str">
        <f>"0229-56-2611  "</f>
        <v xml:space="preserve">0229-56-2611  </v>
      </c>
      <c r="H171" s="5" t="s">
        <v>33</v>
      </c>
    </row>
    <row r="172" spans="1:8" ht="37.5" x14ac:dyDescent="0.4">
      <c r="A172" s="4">
        <v>171</v>
      </c>
      <c r="B172" s="5" t="s">
        <v>7</v>
      </c>
      <c r="C172" s="5" t="s">
        <v>59</v>
      </c>
      <c r="D172" s="5" t="s">
        <v>60</v>
      </c>
      <c r="E172" s="5" t="str">
        <f>"989-4102"</f>
        <v>989-4102</v>
      </c>
      <c r="F172" s="5" t="str">
        <f>"大崎市鹿島台木間塚字小谷地３８３－５"</f>
        <v>大崎市鹿島台木間塚字小谷地３８３－５</v>
      </c>
      <c r="G172" s="5" t="str">
        <f>"0229-56-6111  "</f>
        <v xml:space="preserve">0229-56-6111  </v>
      </c>
      <c r="H172" s="5" t="s">
        <v>10</v>
      </c>
    </row>
    <row r="173" spans="1:8" x14ac:dyDescent="0.4">
      <c r="A173" s="4">
        <v>172</v>
      </c>
      <c r="B173" s="5" t="s">
        <v>7</v>
      </c>
      <c r="C173" s="5" t="s">
        <v>373</v>
      </c>
      <c r="D173" s="5" t="s">
        <v>374</v>
      </c>
      <c r="E173" s="5" t="str">
        <f>"989-6142"</f>
        <v>989-6142</v>
      </c>
      <c r="F173" s="5" t="str">
        <f>"大崎市中島町２－３９"</f>
        <v>大崎市中島町２－３９</v>
      </c>
      <c r="G173" s="5" t="str">
        <f>"0229-21-0087  "</f>
        <v xml:space="preserve">0229-21-0087  </v>
      </c>
      <c r="H173" s="5" t="s">
        <v>185</v>
      </c>
    </row>
    <row r="174" spans="1:8" ht="37.5" x14ac:dyDescent="0.4">
      <c r="A174" s="4">
        <v>173</v>
      </c>
      <c r="B174" s="5" t="s">
        <v>424</v>
      </c>
      <c r="C174" s="5" t="s">
        <v>434</v>
      </c>
      <c r="D174" s="5" t="s">
        <v>435</v>
      </c>
      <c r="E174" s="5" t="str">
        <f>"987-0601"</f>
        <v>987-0601</v>
      </c>
      <c r="F174" s="5" t="str">
        <f>"登米市中田町石森字加賀野２－５－２５"</f>
        <v>登米市中田町石森字加賀野２－５－２５</v>
      </c>
      <c r="G174" s="5" t="str">
        <f>"0220-35-1066  "</f>
        <v xml:space="preserve">0220-35-1066  </v>
      </c>
      <c r="H174" s="5" t="s">
        <v>10</v>
      </c>
    </row>
    <row r="175" spans="1:8" ht="56.25" x14ac:dyDescent="0.4">
      <c r="A175" s="4">
        <v>174</v>
      </c>
      <c r="B175" s="5" t="s">
        <v>7</v>
      </c>
      <c r="C175" s="5" t="s">
        <v>226</v>
      </c>
      <c r="D175" s="5" t="s">
        <v>227</v>
      </c>
      <c r="E175" s="5" t="str">
        <f>"987-0601"</f>
        <v>987-0601</v>
      </c>
      <c r="F175" s="5" t="str">
        <f>"登米市中田町石森字加賀野２丁目25-24"</f>
        <v>登米市中田町石森字加賀野２丁目25-24</v>
      </c>
      <c r="G175" s="5" t="str">
        <f>"0220-35-1161  "</f>
        <v xml:space="preserve">0220-35-1161  </v>
      </c>
      <c r="H175" s="5" t="s">
        <v>228</v>
      </c>
    </row>
    <row r="176" spans="1:8" ht="56.25" x14ac:dyDescent="0.4">
      <c r="A176" s="4">
        <v>175</v>
      </c>
      <c r="B176" s="5" t="s">
        <v>7</v>
      </c>
      <c r="C176" s="5" t="s">
        <v>229</v>
      </c>
      <c r="D176" s="5" t="s">
        <v>227</v>
      </c>
      <c r="E176" s="5" t="str">
        <f>"987-0601"</f>
        <v>987-0601</v>
      </c>
      <c r="F176" s="5" t="str">
        <f>"登米市中田町石森字加賀野２丁目25-24"</f>
        <v>登米市中田町石森字加賀野２丁目25-24</v>
      </c>
      <c r="G176" s="5" t="str">
        <f>"0220-35-1161  "</f>
        <v xml:space="preserve">0220-35-1161  </v>
      </c>
      <c r="H176" s="5" t="s">
        <v>228</v>
      </c>
    </row>
    <row r="177" spans="1:8" x14ac:dyDescent="0.4">
      <c r="A177" s="4">
        <v>176</v>
      </c>
      <c r="B177" s="5" t="s">
        <v>7</v>
      </c>
      <c r="C177" s="5" t="s">
        <v>177</v>
      </c>
      <c r="D177" s="5" t="s">
        <v>178</v>
      </c>
      <c r="E177" s="5" t="str">
        <f>"987-0704"</f>
        <v>987-0704</v>
      </c>
      <c r="F177" s="5" t="str">
        <f>"登米市登米町日野渡内ノ目329-1"</f>
        <v>登米市登米町日野渡内ノ目329-1</v>
      </c>
      <c r="G177" s="5" t="str">
        <f>"0220-52-2303  "</f>
        <v xml:space="preserve">0220-52-2303  </v>
      </c>
      <c r="H177" s="5" t="s">
        <v>179</v>
      </c>
    </row>
    <row r="178" spans="1:8" x14ac:dyDescent="0.4">
      <c r="A178" s="4">
        <v>177</v>
      </c>
      <c r="B178" s="5" t="s">
        <v>7</v>
      </c>
      <c r="C178" s="5" t="s">
        <v>393</v>
      </c>
      <c r="D178" s="5" t="s">
        <v>224</v>
      </c>
      <c r="E178" s="5" t="str">
        <f>"987-0511"</f>
        <v>987-0511</v>
      </c>
      <c r="F178" s="5" t="s">
        <v>394</v>
      </c>
      <c r="G178" s="5" t="str">
        <f>"0220-22-5511  "</f>
        <v xml:space="preserve">0220-22-5511  </v>
      </c>
      <c r="H178" s="5" t="s">
        <v>185</v>
      </c>
    </row>
    <row r="179" spans="1:8" x14ac:dyDescent="0.4">
      <c r="A179" s="4">
        <v>178</v>
      </c>
      <c r="B179" s="5" t="s">
        <v>7</v>
      </c>
      <c r="C179" s="5" t="s">
        <v>223</v>
      </c>
      <c r="D179" s="5" t="s">
        <v>224</v>
      </c>
      <c r="E179" s="5" t="str">
        <f>"987-0511"</f>
        <v>987-0511</v>
      </c>
      <c r="F179" s="5" t="s">
        <v>225</v>
      </c>
      <c r="G179" s="5" t="str">
        <f>"0220-22-5511  "</f>
        <v xml:space="preserve">0220-22-5511  </v>
      </c>
      <c r="H179" s="5" t="s">
        <v>22</v>
      </c>
    </row>
    <row r="180" spans="1:8" ht="37.5" x14ac:dyDescent="0.4">
      <c r="A180" s="4">
        <v>179</v>
      </c>
      <c r="B180" s="5" t="s">
        <v>424</v>
      </c>
      <c r="C180" s="5" t="s">
        <v>504</v>
      </c>
      <c r="D180" s="5" t="s">
        <v>224</v>
      </c>
      <c r="E180" s="5" t="str">
        <f>"987-0511"</f>
        <v>987-0511</v>
      </c>
      <c r="F180" s="5" t="s">
        <v>505</v>
      </c>
      <c r="G180" s="5" t="str">
        <f>"0220-22-5511  "</f>
        <v xml:space="preserve">0220-22-5511  </v>
      </c>
      <c r="H180" s="5" t="s">
        <v>22</v>
      </c>
    </row>
    <row r="181" spans="1:8" ht="37.5" x14ac:dyDescent="0.4">
      <c r="A181" s="4">
        <v>180</v>
      </c>
      <c r="B181" s="5" t="s">
        <v>7</v>
      </c>
      <c r="C181" s="5" t="s">
        <v>221</v>
      </c>
      <c r="D181" s="5" t="s">
        <v>222</v>
      </c>
      <c r="E181" s="5" t="str">
        <f>"987-0511"</f>
        <v>987-0511</v>
      </c>
      <c r="F181" s="5" t="str">
        <f>"登米市迫町佐沼字江合１丁目８－１"</f>
        <v>登米市迫町佐沼字江合１丁目８－１</v>
      </c>
      <c r="G181" s="5" t="str">
        <f>"0220-21-5550  "</f>
        <v xml:space="preserve">0220-21-5550  </v>
      </c>
      <c r="H181" s="5" t="s">
        <v>48</v>
      </c>
    </row>
    <row r="182" spans="1:8" ht="37.5" x14ac:dyDescent="0.4">
      <c r="A182" s="4">
        <v>181</v>
      </c>
      <c r="B182" s="5" t="s">
        <v>424</v>
      </c>
      <c r="C182" s="5" t="s">
        <v>485</v>
      </c>
      <c r="D182" s="5" t="s">
        <v>486</v>
      </c>
      <c r="E182" s="5" t="str">
        <f>"987-0511"</f>
        <v>987-0511</v>
      </c>
      <c r="F182" s="5" t="s">
        <v>487</v>
      </c>
      <c r="G182" s="5" t="str">
        <f>"0220-23-9832  "</f>
        <v xml:space="preserve">0220-23-9832  </v>
      </c>
      <c r="H182" s="5" t="s">
        <v>488</v>
      </c>
    </row>
    <row r="183" spans="1:8" ht="37.5" x14ac:dyDescent="0.4">
      <c r="A183" s="4">
        <v>182</v>
      </c>
      <c r="B183" s="5" t="s">
        <v>7</v>
      </c>
      <c r="C183" s="5" t="s">
        <v>75</v>
      </c>
      <c r="D183" s="5" t="s">
        <v>76</v>
      </c>
      <c r="E183" s="5" t="str">
        <f>"987-0363"</f>
        <v>987-0363</v>
      </c>
      <c r="F183" s="5" t="s">
        <v>77</v>
      </c>
      <c r="G183" s="5" t="str">
        <f>"0225-76-3420  "</f>
        <v xml:space="preserve">0225-76-3420  </v>
      </c>
      <c r="H183" s="5" t="s">
        <v>78</v>
      </c>
    </row>
    <row r="184" spans="1:8" ht="37.5" x14ac:dyDescent="0.4">
      <c r="A184" s="4">
        <v>183</v>
      </c>
      <c r="B184" s="5" t="s">
        <v>424</v>
      </c>
      <c r="C184" s="5" t="s">
        <v>436</v>
      </c>
      <c r="D184" s="5" t="s">
        <v>437</v>
      </c>
      <c r="E184" s="5" t="str">
        <f>"981-0504"</f>
        <v>981-0504</v>
      </c>
      <c r="F184" s="5" t="s">
        <v>438</v>
      </c>
      <c r="G184" s="5" t="str">
        <f>"0225-24-6119  "</f>
        <v xml:space="preserve">0225-24-6119  </v>
      </c>
      <c r="H184" s="5" t="s">
        <v>439</v>
      </c>
    </row>
    <row r="185" spans="1:8" x14ac:dyDescent="0.4">
      <c r="A185" s="4">
        <v>184</v>
      </c>
      <c r="B185" s="5" t="s">
        <v>7</v>
      </c>
      <c r="C185" s="5" t="s">
        <v>324</v>
      </c>
      <c r="D185" s="5" t="s">
        <v>325</v>
      </c>
      <c r="E185" s="5" t="str">
        <f>"981-0501"</f>
        <v>981-0501</v>
      </c>
      <c r="F185" s="5" t="str">
        <f>"東松島市赤井字川前４番１－６"</f>
        <v>東松島市赤井字川前４番１－６</v>
      </c>
      <c r="G185" s="5" t="str">
        <f>"0225-98-8617  "</f>
        <v xml:space="preserve">0225-98-8617  </v>
      </c>
      <c r="H185" s="5" t="s">
        <v>312</v>
      </c>
    </row>
    <row r="186" spans="1:8" x14ac:dyDescent="0.4">
      <c r="A186" s="4">
        <v>185</v>
      </c>
      <c r="B186" s="5" t="s">
        <v>7</v>
      </c>
      <c r="C186" s="5" t="s">
        <v>356</v>
      </c>
      <c r="D186" s="5" t="s">
        <v>210</v>
      </c>
      <c r="E186" s="5" t="str">
        <f>"981-0501"</f>
        <v>981-0501</v>
      </c>
      <c r="F186" s="5" t="str">
        <f>"東松島市赤井字台53-7"</f>
        <v>東松島市赤井字台53-7</v>
      </c>
      <c r="G186" s="5" t="str">
        <f>"0225-83-2111  "</f>
        <v xml:space="preserve">0225-83-2111  </v>
      </c>
      <c r="H186" s="5" t="s">
        <v>163</v>
      </c>
    </row>
    <row r="187" spans="1:8" ht="56.25" x14ac:dyDescent="0.4">
      <c r="A187" s="4">
        <v>186</v>
      </c>
      <c r="B187" s="5" t="s">
        <v>7</v>
      </c>
      <c r="C187" s="5" t="s">
        <v>79</v>
      </c>
      <c r="D187" s="5" t="s">
        <v>80</v>
      </c>
      <c r="E187" s="5" t="str">
        <f>"981-0501"</f>
        <v>981-0501</v>
      </c>
      <c r="F187" s="5" t="s">
        <v>81</v>
      </c>
      <c r="G187" s="5" t="str">
        <f>"0225-83-8830  "</f>
        <v xml:space="preserve">0225-83-8830  </v>
      </c>
      <c r="H187" s="5" t="s">
        <v>82</v>
      </c>
    </row>
    <row r="188" spans="1:8" x14ac:dyDescent="0.4">
      <c r="A188" s="4">
        <v>187</v>
      </c>
      <c r="B188" s="5" t="s">
        <v>7</v>
      </c>
      <c r="C188" s="5" t="s">
        <v>286</v>
      </c>
      <c r="D188" s="5" t="s">
        <v>287</v>
      </c>
      <c r="E188" s="5" t="str">
        <f>"981-0503"</f>
        <v>981-0503</v>
      </c>
      <c r="F188" s="5" t="s">
        <v>288</v>
      </c>
      <c r="G188" s="5" t="str">
        <f>"0225-25-7448  "</f>
        <v xml:space="preserve">0225-25-7448  </v>
      </c>
      <c r="H188" s="5" t="s">
        <v>10</v>
      </c>
    </row>
    <row r="189" spans="1:8" x14ac:dyDescent="0.4">
      <c r="A189" s="4">
        <v>188</v>
      </c>
      <c r="B189" s="5" t="s">
        <v>7</v>
      </c>
      <c r="C189" s="5" t="s">
        <v>280</v>
      </c>
      <c r="D189" s="5" t="s">
        <v>281</v>
      </c>
      <c r="E189" s="5" t="str">
        <f>"989-0267"</f>
        <v>989-0267</v>
      </c>
      <c r="F189" s="5" t="str">
        <f>"白石市字延命寺北１－６"</f>
        <v>白石市字延命寺北１－６</v>
      </c>
      <c r="G189" s="5" t="str">
        <f>"0224-24-2333  "</f>
        <v xml:space="preserve">0224-24-2333  </v>
      </c>
      <c r="H189" s="5" t="s">
        <v>48</v>
      </c>
    </row>
    <row r="190" spans="1:8" ht="37.5" x14ac:dyDescent="0.4">
      <c r="A190" s="4">
        <v>189</v>
      </c>
      <c r="B190" s="5" t="s">
        <v>7</v>
      </c>
      <c r="C190" s="5" t="s">
        <v>93</v>
      </c>
      <c r="D190" s="5" t="s">
        <v>94</v>
      </c>
      <c r="E190" s="5" t="str">
        <f>"989-0272"</f>
        <v>989-0272</v>
      </c>
      <c r="F190" s="5" t="str">
        <f>"白石市字清水小路６－３"</f>
        <v>白石市字清水小路６－３</v>
      </c>
      <c r="G190" s="5" t="str">
        <f>"0224-25-1181  "</f>
        <v xml:space="preserve">0224-25-1181  </v>
      </c>
      <c r="H190" s="5" t="s">
        <v>95</v>
      </c>
    </row>
    <row r="191" spans="1:8" ht="37.5" x14ac:dyDescent="0.4">
      <c r="A191" s="4">
        <v>190</v>
      </c>
      <c r="B191" s="5" t="s">
        <v>7</v>
      </c>
      <c r="C191" s="5" t="s">
        <v>358</v>
      </c>
      <c r="D191" s="5" t="s">
        <v>218</v>
      </c>
      <c r="E191" s="5" t="str">
        <f>"989-0242"</f>
        <v>989-0242</v>
      </c>
      <c r="F191" s="5" t="s">
        <v>359</v>
      </c>
      <c r="G191" s="5" t="str">
        <f>"0224-24-4603  "</f>
        <v xml:space="preserve">0224-24-4603  </v>
      </c>
      <c r="H191" s="5" t="s">
        <v>10</v>
      </c>
    </row>
    <row r="192" spans="1:8" x14ac:dyDescent="0.4">
      <c r="A192" s="4">
        <v>191</v>
      </c>
      <c r="B192" s="5" t="s">
        <v>7</v>
      </c>
      <c r="C192" s="5" t="s">
        <v>272</v>
      </c>
      <c r="D192" s="5" t="s">
        <v>273</v>
      </c>
      <c r="E192" s="5" t="str">
        <f>"989-0276"</f>
        <v>989-0276</v>
      </c>
      <c r="F192" s="5" t="str">
        <f>"白石市大手町３－１３"</f>
        <v>白石市大手町３－１３</v>
      </c>
      <c r="G192" s="5" t="str">
        <f>"0224-26-2653  "</f>
        <v xml:space="preserve">0224-26-2653  </v>
      </c>
      <c r="H192" s="5" t="s">
        <v>179</v>
      </c>
    </row>
    <row r="193" spans="1:8" x14ac:dyDescent="0.4">
      <c r="A193" s="4">
        <v>192</v>
      </c>
      <c r="B193" s="5" t="s">
        <v>7</v>
      </c>
      <c r="C193" s="5" t="s">
        <v>128</v>
      </c>
      <c r="D193" s="5" t="s">
        <v>129</v>
      </c>
      <c r="E193" s="5" t="str">
        <f>"989-0277"</f>
        <v>989-0277</v>
      </c>
      <c r="F193" s="5" t="str">
        <f>"白石市沢端町　１－３７"</f>
        <v>白石市沢端町　１－３７</v>
      </c>
      <c r="G193" s="5" t="str">
        <f>"0224-25-2210  "</f>
        <v xml:space="preserve">0224-25-2210  </v>
      </c>
      <c r="H193" s="5" t="s">
        <v>22</v>
      </c>
    </row>
    <row r="194" spans="1:8" x14ac:dyDescent="0.4">
      <c r="A194" s="4">
        <v>193</v>
      </c>
      <c r="B194" s="5" t="s">
        <v>7</v>
      </c>
      <c r="C194" s="5" t="s">
        <v>418</v>
      </c>
      <c r="D194" s="5" t="s">
        <v>419</v>
      </c>
      <c r="E194" s="5" t="str">
        <f>"989-0231"</f>
        <v>989-0231</v>
      </c>
      <c r="F194" s="5" t="s">
        <v>420</v>
      </c>
      <c r="G194" s="5" t="str">
        <f>"0224-25-2145  "</f>
        <v xml:space="preserve">0224-25-2145  </v>
      </c>
      <c r="H194" s="5" t="s">
        <v>22</v>
      </c>
    </row>
    <row r="195" spans="1:8" ht="37.5" x14ac:dyDescent="0.4">
      <c r="A195" s="4">
        <v>194</v>
      </c>
      <c r="B195" s="5" t="s">
        <v>7</v>
      </c>
      <c r="C195" s="5" t="s">
        <v>217</v>
      </c>
      <c r="D195" s="5" t="s">
        <v>218</v>
      </c>
      <c r="E195" s="5" t="str">
        <f>"989-0242"</f>
        <v>989-0242</v>
      </c>
      <c r="F195" s="5" t="str">
        <f>"白石市柳町７２－４"</f>
        <v>白石市柳町７２－４</v>
      </c>
      <c r="G195" s="5" t="str">
        <f>"0224-24-4603  "</f>
        <v xml:space="preserve">0224-24-4603  </v>
      </c>
      <c r="H195" s="5" t="s">
        <v>10</v>
      </c>
    </row>
    <row r="196" spans="1:8" x14ac:dyDescent="0.4">
      <c r="A196" s="4">
        <v>195</v>
      </c>
      <c r="B196" s="5" t="s">
        <v>7</v>
      </c>
      <c r="C196" s="5" t="s">
        <v>239</v>
      </c>
      <c r="D196" s="5" t="s">
        <v>240</v>
      </c>
      <c r="E196" s="5" t="str">
        <f>"989-0242"</f>
        <v>989-0242</v>
      </c>
      <c r="F196" s="5" t="str">
        <f>"白石市柳町72-4"</f>
        <v>白石市柳町72-4</v>
      </c>
      <c r="G196" s="5" t="str">
        <f>"0224-24-4603  "</f>
        <v xml:space="preserve">0224-24-4603  </v>
      </c>
      <c r="H196" s="5" t="s">
        <v>10</v>
      </c>
    </row>
    <row r="197" spans="1:8" ht="37.5" x14ac:dyDescent="0.4">
      <c r="A197" s="4">
        <v>196</v>
      </c>
      <c r="B197" s="5" t="s">
        <v>7</v>
      </c>
      <c r="C197" s="5" t="s">
        <v>253</v>
      </c>
      <c r="D197" s="5" t="s">
        <v>254</v>
      </c>
      <c r="E197" s="5" t="str">
        <f>"981-3304"</f>
        <v>981-3304</v>
      </c>
      <c r="F197" s="5" t="str">
        <f>"富谷市ひより台１－４５－１"</f>
        <v>富谷市ひより台１－４５－１</v>
      </c>
      <c r="G197" s="5" t="str">
        <f>"022-358-2872  "</f>
        <v xml:space="preserve">022-358-2872  </v>
      </c>
      <c r="H197" s="5" t="s">
        <v>22</v>
      </c>
    </row>
    <row r="198" spans="1:8" x14ac:dyDescent="0.4">
      <c r="A198" s="4">
        <v>197</v>
      </c>
      <c r="B198" s="5" t="s">
        <v>7</v>
      </c>
      <c r="C198" s="5" t="s">
        <v>293</v>
      </c>
      <c r="D198" s="5" t="s">
        <v>294</v>
      </c>
      <c r="E198" s="5" t="str">
        <f>"981-3304"</f>
        <v>981-3304</v>
      </c>
      <c r="F198" s="5" t="str">
        <f>"富谷市ひより台1-45-1"</f>
        <v>富谷市ひより台1-45-1</v>
      </c>
      <c r="G198" s="5" t="str">
        <f>"022-358-2872  "</f>
        <v xml:space="preserve">022-358-2872  </v>
      </c>
      <c r="H198" s="5" t="s">
        <v>179</v>
      </c>
    </row>
    <row r="199" spans="1:8" x14ac:dyDescent="0.4">
      <c r="A199" s="4">
        <v>198</v>
      </c>
      <c r="B199" s="5" t="s">
        <v>7</v>
      </c>
      <c r="C199" s="5" t="s">
        <v>184</v>
      </c>
      <c r="D199" s="5" t="s">
        <v>183</v>
      </c>
      <c r="E199" s="5" t="str">
        <f t="shared" ref="E199:E205" si="14">"981-3328"</f>
        <v>981-3328</v>
      </c>
      <c r="F199" s="5" t="str">
        <f>"富谷市上桜木２－１－６"</f>
        <v>富谷市上桜木２－１－６</v>
      </c>
      <c r="G199" s="5" t="str">
        <f t="shared" ref="G199:G205" si="15">"022-779-1470  "</f>
        <v xml:space="preserve">022-779-1470  </v>
      </c>
      <c r="H199" s="5" t="s">
        <v>185</v>
      </c>
    </row>
    <row r="200" spans="1:8" x14ac:dyDescent="0.4">
      <c r="A200" s="4">
        <v>199</v>
      </c>
      <c r="B200" s="5" t="s">
        <v>7</v>
      </c>
      <c r="C200" s="5" t="s">
        <v>186</v>
      </c>
      <c r="D200" s="5" t="s">
        <v>183</v>
      </c>
      <c r="E200" s="5" t="str">
        <f t="shared" si="14"/>
        <v>981-3328</v>
      </c>
      <c r="F200" s="5" t="str">
        <f>"富谷市上桜木２－１－６"</f>
        <v>富谷市上桜木２－１－６</v>
      </c>
      <c r="G200" s="5" t="str">
        <f t="shared" si="15"/>
        <v xml:space="preserve">022-779-1470  </v>
      </c>
      <c r="H200" s="5" t="s">
        <v>187</v>
      </c>
    </row>
    <row r="201" spans="1:8" x14ac:dyDescent="0.4">
      <c r="A201" s="4">
        <v>200</v>
      </c>
      <c r="B201" s="5" t="s">
        <v>7</v>
      </c>
      <c r="C201" s="5" t="s">
        <v>313</v>
      </c>
      <c r="D201" s="5" t="s">
        <v>183</v>
      </c>
      <c r="E201" s="5" t="str">
        <f t="shared" si="14"/>
        <v>981-3328</v>
      </c>
      <c r="F201" s="5" t="str">
        <f>"富谷市上桜木2-1-6"</f>
        <v>富谷市上桜木2-1-6</v>
      </c>
      <c r="G201" s="5" t="str">
        <f t="shared" si="15"/>
        <v xml:space="preserve">022-779-1470  </v>
      </c>
      <c r="H201" s="5" t="s">
        <v>189</v>
      </c>
    </row>
    <row r="202" spans="1:8" ht="37.5" x14ac:dyDescent="0.4">
      <c r="A202" s="4">
        <v>201</v>
      </c>
      <c r="B202" s="5" t="s">
        <v>424</v>
      </c>
      <c r="C202" s="5" t="s">
        <v>469</v>
      </c>
      <c r="D202" s="5" t="s">
        <v>183</v>
      </c>
      <c r="E202" s="5" t="str">
        <f t="shared" si="14"/>
        <v>981-3328</v>
      </c>
      <c r="F202" s="5" t="str">
        <f>"富谷市上桜木２－１－６"</f>
        <v>富谷市上桜木２－１－６</v>
      </c>
      <c r="G202" s="5" t="str">
        <f t="shared" si="15"/>
        <v xml:space="preserve">022-779-1470  </v>
      </c>
      <c r="H202" s="5" t="s">
        <v>470</v>
      </c>
    </row>
    <row r="203" spans="1:8" ht="37.5" x14ac:dyDescent="0.4">
      <c r="A203" s="4">
        <v>202</v>
      </c>
      <c r="B203" s="5" t="s">
        <v>424</v>
      </c>
      <c r="C203" s="5" t="s">
        <v>471</v>
      </c>
      <c r="D203" s="5" t="s">
        <v>183</v>
      </c>
      <c r="E203" s="5" t="str">
        <f t="shared" si="14"/>
        <v>981-3328</v>
      </c>
      <c r="F203" s="5" t="str">
        <f>"富谷市上桜木２－１－６"</f>
        <v>富谷市上桜木２－１－６</v>
      </c>
      <c r="G203" s="5" t="str">
        <f t="shared" si="15"/>
        <v xml:space="preserve">022-779-1470  </v>
      </c>
      <c r="H203" s="5" t="s">
        <v>472</v>
      </c>
    </row>
    <row r="204" spans="1:8" ht="37.5" x14ac:dyDescent="0.4">
      <c r="A204" s="4">
        <v>203</v>
      </c>
      <c r="B204" s="5" t="s">
        <v>424</v>
      </c>
      <c r="C204" s="5" t="s">
        <v>473</v>
      </c>
      <c r="D204" s="5" t="s">
        <v>183</v>
      </c>
      <c r="E204" s="5" t="str">
        <f t="shared" si="14"/>
        <v>981-3328</v>
      </c>
      <c r="F204" s="5" t="str">
        <f>"富谷市上桜木２－１－６"</f>
        <v>富谷市上桜木２－１－６</v>
      </c>
      <c r="G204" s="5" t="str">
        <f t="shared" si="15"/>
        <v xml:space="preserve">022-779-1470  </v>
      </c>
      <c r="H204" s="5" t="s">
        <v>312</v>
      </c>
    </row>
    <row r="205" spans="1:8" ht="37.5" x14ac:dyDescent="0.4">
      <c r="A205" s="4">
        <v>204</v>
      </c>
      <c r="B205" s="5" t="s">
        <v>7</v>
      </c>
      <c r="C205" s="5" t="s">
        <v>395</v>
      </c>
      <c r="D205" s="5" t="s">
        <v>344</v>
      </c>
      <c r="E205" s="5" t="str">
        <f t="shared" si="14"/>
        <v>981-3328</v>
      </c>
      <c r="F205" s="5" t="s">
        <v>345</v>
      </c>
      <c r="G205" s="5" t="str">
        <f t="shared" si="15"/>
        <v xml:space="preserve">022-779-1470  </v>
      </c>
      <c r="H205" s="5" t="s">
        <v>188</v>
      </c>
    </row>
    <row r="206" spans="1:8" x14ac:dyDescent="0.4">
      <c r="A206" s="4">
        <v>205</v>
      </c>
      <c r="B206" s="5" t="s">
        <v>7</v>
      </c>
      <c r="C206" s="5" t="s">
        <v>337</v>
      </c>
      <c r="D206" s="5" t="s">
        <v>338</v>
      </c>
      <c r="E206" s="5" t="str">
        <f>"981-3341"</f>
        <v>981-3341</v>
      </c>
      <c r="F206" s="5" t="str">
        <f>"富谷市成田　２－１－３"</f>
        <v>富谷市成田　２－１－３</v>
      </c>
      <c r="G206" s="5" t="str">
        <f>"022-351-8020  "</f>
        <v xml:space="preserve">022-351-8020  </v>
      </c>
      <c r="H206" s="5" t="s">
        <v>48</v>
      </c>
    </row>
    <row r="207" spans="1:8" ht="37.5" x14ac:dyDescent="0.4">
      <c r="A207" s="4">
        <v>206</v>
      </c>
      <c r="B207" s="5" t="s">
        <v>424</v>
      </c>
      <c r="C207" s="5" t="s">
        <v>430</v>
      </c>
      <c r="D207" s="5" t="s">
        <v>338</v>
      </c>
      <c r="E207" s="5" t="str">
        <f>"981-3341"</f>
        <v>981-3341</v>
      </c>
      <c r="F207" s="5" t="str">
        <f>"富谷市成田　２－１－３"</f>
        <v>富谷市成田　２－１－３</v>
      </c>
      <c r="G207" s="5" t="str">
        <f>"022-351-8020  "</f>
        <v xml:space="preserve">022-351-8020  </v>
      </c>
      <c r="H207" s="5" t="s">
        <v>48</v>
      </c>
    </row>
    <row r="208" spans="1:8" x14ac:dyDescent="0.4">
      <c r="A208" s="4">
        <v>207</v>
      </c>
      <c r="B208" s="5" t="s">
        <v>7</v>
      </c>
      <c r="C208" s="5" t="s">
        <v>8</v>
      </c>
      <c r="D208" s="5" t="s">
        <v>9</v>
      </c>
      <c r="E208" s="5" t="str">
        <f>"981-3332"</f>
        <v>981-3332</v>
      </c>
      <c r="F208" s="5" t="str">
        <f>"富谷市明石台６－１－２０"</f>
        <v>富谷市明石台６－１－２０</v>
      </c>
      <c r="G208" s="5" t="str">
        <f>"022-346-1719  "</f>
        <v xml:space="preserve">022-346-1719  </v>
      </c>
      <c r="H208" s="5" t="s">
        <v>10</v>
      </c>
    </row>
    <row r="209" spans="1:8" ht="37.5" x14ac:dyDescent="0.4">
      <c r="A209" s="4">
        <v>208</v>
      </c>
      <c r="B209" s="5" t="s">
        <v>7</v>
      </c>
      <c r="C209" s="5" t="s">
        <v>326</v>
      </c>
      <c r="D209" s="5" t="s">
        <v>327</v>
      </c>
      <c r="E209" s="5" t="str">
        <f>"981-3332"</f>
        <v>981-3332</v>
      </c>
      <c r="F209" s="5" t="str">
        <f>"富谷市明石台７－１－５"</f>
        <v>富谷市明石台７－１－５</v>
      </c>
      <c r="G209" s="5" t="str">
        <f>"022-358-1976  "</f>
        <v xml:space="preserve">022-358-1976  </v>
      </c>
      <c r="H209" s="5" t="s">
        <v>22</v>
      </c>
    </row>
    <row r="210" spans="1:8" ht="37.5" x14ac:dyDescent="0.4">
      <c r="A210" s="4">
        <v>209</v>
      </c>
      <c r="B210" s="5" t="s">
        <v>7</v>
      </c>
      <c r="C210" s="5" t="s">
        <v>422</v>
      </c>
      <c r="D210" s="5" t="s">
        <v>327</v>
      </c>
      <c r="E210" s="5" t="str">
        <f>"981-3332"</f>
        <v>981-3332</v>
      </c>
      <c r="F210" s="5" t="s">
        <v>423</v>
      </c>
      <c r="G210" s="5" t="str">
        <f>"022-358-1976  "</f>
        <v xml:space="preserve">022-358-1976  </v>
      </c>
      <c r="H210" s="5" t="s">
        <v>22</v>
      </c>
    </row>
    <row r="211" spans="1:8" x14ac:dyDescent="0.4">
      <c r="A211" s="4">
        <v>210</v>
      </c>
      <c r="B211" s="5" t="s">
        <v>7</v>
      </c>
      <c r="C211" s="5" t="s">
        <v>237</v>
      </c>
      <c r="D211" s="5" t="s">
        <v>238</v>
      </c>
      <c r="E211" s="5" t="str">
        <f>"986-0725"</f>
        <v>986-0725</v>
      </c>
      <c r="F211" s="5" t="str">
        <f>"本吉郡南三陸町志津川字沼田14-3"</f>
        <v>本吉郡南三陸町志津川字沼田14-3</v>
      </c>
      <c r="G211" s="5" t="str">
        <f>"0226-46-3646  "</f>
        <v xml:space="preserve">0226-46-3646  </v>
      </c>
      <c r="H211" s="5" t="s">
        <v>29</v>
      </c>
    </row>
    <row r="212" spans="1:8" x14ac:dyDescent="0.4">
      <c r="A212" s="4">
        <v>211</v>
      </c>
      <c r="B212" s="5" t="s">
        <v>7</v>
      </c>
      <c r="C212" s="5" t="s">
        <v>289</v>
      </c>
      <c r="D212" s="5" t="s">
        <v>290</v>
      </c>
      <c r="E212" s="5" t="str">
        <f>"981-1293"</f>
        <v>981-1293</v>
      </c>
      <c r="F212" s="5" t="str">
        <f>"名取市 愛島塩手字野田山47－1"</f>
        <v>名取市 愛島塩手字野田山47－1</v>
      </c>
      <c r="G212" s="5" t="str">
        <f>"022-384-3151  "</f>
        <v xml:space="preserve">022-384-3151  </v>
      </c>
      <c r="H212" s="5" t="s">
        <v>291</v>
      </c>
    </row>
    <row r="213" spans="1:8" ht="37.5" x14ac:dyDescent="0.4">
      <c r="A213" s="4">
        <v>212</v>
      </c>
      <c r="B213" s="5" t="s">
        <v>7</v>
      </c>
      <c r="C213" s="5" t="s">
        <v>99</v>
      </c>
      <c r="D213" s="5" t="s">
        <v>100</v>
      </c>
      <c r="E213" s="5" t="str">
        <f>"981-1247"</f>
        <v>981-1247</v>
      </c>
      <c r="F213" s="5" t="str">
        <f>"名取市みどり台　２－４－３"</f>
        <v>名取市みどり台　２－４－３</v>
      </c>
      <c r="G213" s="5" t="str">
        <f>"022-386-8333  "</f>
        <v xml:space="preserve">022-386-8333  </v>
      </c>
      <c r="H213" s="5" t="s">
        <v>101</v>
      </c>
    </row>
    <row r="214" spans="1:8" ht="37.5" x14ac:dyDescent="0.4">
      <c r="A214" s="4">
        <v>213</v>
      </c>
      <c r="B214" s="5" t="s">
        <v>424</v>
      </c>
      <c r="C214" s="5" t="s">
        <v>457</v>
      </c>
      <c r="D214" s="5" t="s">
        <v>290</v>
      </c>
      <c r="E214" s="5" t="str">
        <f>"981-1239"</f>
        <v>981-1239</v>
      </c>
      <c r="F214" s="5" t="str">
        <f>"名取市愛島塩手字野田山４７－１"</f>
        <v>名取市愛島塩手字野田山４７－１</v>
      </c>
      <c r="G214" s="5" t="str">
        <f>"022-384-3151  "</f>
        <v xml:space="preserve">022-384-3151  </v>
      </c>
      <c r="H214" s="5" t="s">
        <v>458</v>
      </c>
    </row>
    <row r="215" spans="1:8" ht="37.5" x14ac:dyDescent="0.4">
      <c r="A215" s="4">
        <v>214</v>
      </c>
      <c r="B215" s="5" t="s">
        <v>424</v>
      </c>
      <c r="C215" s="5" t="s">
        <v>459</v>
      </c>
      <c r="D215" s="5" t="s">
        <v>290</v>
      </c>
      <c r="E215" s="5" t="str">
        <f>"981-1239"</f>
        <v>981-1239</v>
      </c>
      <c r="F215" s="5" t="str">
        <f>"名取市愛島塩手字野田山４７－１"</f>
        <v>名取市愛島塩手字野田山４７－１</v>
      </c>
      <c r="G215" s="5" t="str">
        <f>"022-384-3151  "</f>
        <v xml:space="preserve">022-384-3151  </v>
      </c>
      <c r="H215" s="5" t="s">
        <v>291</v>
      </c>
    </row>
    <row r="216" spans="1:8" ht="37.5" x14ac:dyDescent="0.4">
      <c r="A216" s="4">
        <v>215</v>
      </c>
      <c r="B216" s="5" t="s">
        <v>424</v>
      </c>
      <c r="C216" s="5" t="s">
        <v>484</v>
      </c>
      <c r="D216" s="5" t="s">
        <v>290</v>
      </c>
      <c r="E216" s="5" t="str">
        <f>"981-1293"</f>
        <v>981-1293</v>
      </c>
      <c r="F216" s="5" t="str">
        <f>"名取市愛島塩手字野田山47-1"</f>
        <v>名取市愛島塩手字野田山47-1</v>
      </c>
      <c r="G216" s="5" t="str">
        <f>"022-384-3151  "</f>
        <v xml:space="preserve">022-384-3151  </v>
      </c>
      <c r="H216" s="5" t="s">
        <v>291</v>
      </c>
    </row>
    <row r="217" spans="1:8" ht="56.25" x14ac:dyDescent="0.4">
      <c r="A217" s="4">
        <v>216</v>
      </c>
      <c r="B217" s="5" t="s">
        <v>7</v>
      </c>
      <c r="C217" s="5" t="s">
        <v>383</v>
      </c>
      <c r="D217" s="5" t="s">
        <v>384</v>
      </c>
      <c r="E217" s="5" t="str">
        <f>"981-1293"</f>
        <v>981-1293</v>
      </c>
      <c r="F217" s="5" t="str">
        <f>"名取市愛島塩手字野田山４７－１"</f>
        <v>名取市愛島塩手字野田山４７－１</v>
      </c>
      <c r="G217" s="5" t="str">
        <f>"022-384-3151  "</f>
        <v xml:space="preserve">022-384-3151  </v>
      </c>
      <c r="H217" s="5" t="s">
        <v>385</v>
      </c>
    </row>
    <row r="218" spans="1:8" ht="37.5" x14ac:dyDescent="0.4">
      <c r="A218" s="4">
        <v>217</v>
      </c>
      <c r="B218" s="5" t="s">
        <v>7</v>
      </c>
      <c r="C218" s="5" t="s">
        <v>85</v>
      </c>
      <c r="D218" s="5" t="s">
        <v>86</v>
      </c>
      <c r="E218" s="5">
        <v>9811231</v>
      </c>
      <c r="F218" s="5" t="str">
        <f>"名取市手倉田八幡３３８－８"</f>
        <v>名取市手倉田八幡３３８－８</v>
      </c>
      <c r="G218" s="5" t="str">
        <f>"022-381-6868  "</f>
        <v xml:space="preserve">022-381-6868  </v>
      </c>
      <c r="H218" s="5" t="s">
        <v>33</v>
      </c>
    </row>
    <row r="219" spans="1:8" ht="37.5" x14ac:dyDescent="0.4">
      <c r="A219" s="4">
        <v>218</v>
      </c>
      <c r="B219" s="5" t="s">
        <v>7</v>
      </c>
      <c r="C219" s="5" t="s">
        <v>311</v>
      </c>
      <c r="D219" s="5" t="s">
        <v>86</v>
      </c>
      <c r="E219" s="5" t="str">
        <f>"981-1231"</f>
        <v>981-1231</v>
      </c>
      <c r="F219" s="5" t="str">
        <f>"名取市手倉田八幡３３８－８"</f>
        <v>名取市手倉田八幡３３８－８</v>
      </c>
      <c r="G219" s="5" t="str">
        <f>"022-381-6868  "</f>
        <v xml:space="preserve">022-381-6868  </v>
      </c>
      <c r="H219" s="5" t="s">
        <v>312</v>
      </c>
    </row>
    <row r="220" spans="1:8" ht="37.5" x14ac:dyDescent="0.4">
      <c r="A220" s="4">
        <v>219</v>
      </c>
      <c r="B220" s="5" t="s">
        <v>7</v>
      </c>
      <c r="C220" s="5" t="s">
        <v>230</v>
      </c>
      <c r="D220" s="5" t="s">
        <v>231</v>
      </c>
      <c r="E220" s="5" t="str">
        <f>"981-1224"</f>
        <v>981-1224</v>
      </c>
      <c r="F220" s="5" t="str">
        <f>"名取市増田 2-6-12"</f>
        <v>名取市増田 2-6-12</v>
      </c>
      <c r="G220" s="5" t="str">
        <f>"022-384-3428  "</f>
        <v xml:space="preserve">022-384-3428  </v>
      </c>
      <c r="H220" s="5" t="s">
        <v>10</v>
      </c>
    </row>
    <row r="221" spans="1:8" x14ac:dyDescent="0.4">
      <c r="A221" s="4">
        <v>220</v>
      </c>
      <c r="B221" s="5" t="s">
        <v>7</v>
      </c>
      <c r="C221" s="5" t="s">
        <v>266</v>
      </c>
      <c r="D221" s="5" t="s">
        <v>267</v>
      </c>
      <c r="E221" s="5" t="str">
        <f>"981-1227"</f>
        <v>981-1227</v>
      </c>
      <c r="F221" s="5" t="str">
        <f>"名取市杜せきのした2－6－5"</f>
        <v>名取市杜せきのした2－6－5</v>
      </c>
      <c r="G221" s="5" t="str">
        <f>"022-341-6288  "</f>
        <v xml:space="preserve">022-341-6288  </v>
      </c>
      <c r="H221" s="5" t="s">
        <v>10</v>
      </c>
    </row>
    <row r="222" spans="1:8" ht="37.5" x14ac:dyDescent="0.4">
      <c r="A222" s="4">
        <v>221</v>
      </c>
      <c r="B222" s="5" t="s">
        <v>424</v>
      </c>
      <c r="C222" s="5" t="s">
        <v>496</v>
      </c>
      <c r="D222" s="5" t="s">
        <v>497</v>
      </c>
      <c r="E222" s="5" t="str">
        <f>"981-1217"</f>
        <v>981-1217</v>
      </c>
      <c r="F222" s="5" t="str">
        <f>"名取市杜せきのした2丁目 6-7"</f>
        <v>名取市杜せきのした2丁目 6-7</v>
      </c>
      <c r="G222" s="5" t="str">
        <f>"022-398-3353  "</f>
        <v xml:space="preserve">022-398-3353  </v>
      </c>
      <c r="H222" s="5" t="s">
        <v>22</v>
      </c>
    </row>
    <row r="223" spans="1:8" ht="37.5" x14ac:dyDescent="0.4">
      <c r="A223" s="4">
        <v>222</v>
      </c>
      <c r="B223" s="5" t="s">
        <v>424</v>
      </c>
      <c r="C223" s="5" t="s">
        <v>440</v>
      </c>
      <c r="D223" s="5" t="s">
        <v>441</v>
      </c>
      <c r="E223" s="5" t="str">
        <f>"981-1217"</f>
        <v>981-1217</v>
      </c>
      <c r="F223" s="5" t="s">
        <v>442</v>
      </c>
      <c r="G223" s="5" t="str">
        <f>"022-738-7081  "</f>
        <v xml:space="preserve">022-738-7081  </v>
      </c>
      <c r="H223" s="5" t="s">
        <v>443</v>
      </c>
    </row>
    <row r="224" spans="1:8" ht="37.5" x14ac:dyDescent="0.4">
      <c r="A224" s="4">
        <v>223</v>
      </c>
      <c r="B224" s="5" t="s">
        <v>7</v>
      </c>
      <c r="C224" s="5" t="s">
        <v>98</v>
      </c>
      <c r="D224" s="5" t="s">
        <v>96</v>
      </c>
      <c r="E224" s="5" t="str">
        <f>"989-2202"</f>
        <v>989-2202</v>
      </c>
      <c r="F224" s="5" t="s">
        <v>97</v>
      </c>
      <c r="G224" s="5" t="str">
        <f>"0223-37-1131  "</f>
        <v xml:space="preserve">0223-37-1131  </v>
      </c>
      <c r="H224" s="5" t="s">
        <v>22</v>
      </c>
    </row>
    <row r="225" spans="1:8" ht="37.5" x14ac:dyDescent="0.4">
      <c r="A225" s="4">
        <v>224</v>
      </c>
      <c r="B225" s="5" t="s">
        <v>424</v>
      </c>
      <c r="C225" s="5" t="s">
        <v>455</v>
      </c>
      <c r="D225" s="5" t="s">
        <v>456</v>
      </c>
      <c r="E225" s="5" t="str">
        <f>"989-2203"</f>
        <v>989-2203</v>
      </c>
      <c r="F225" s="5" t="str">
        <f>"亘理郡山元町浅生原作田山２－７２"</f>
        <v>亘理郡山元町浅生原作田山２－７２</v>
      </c>
      <c r="G225" s="5" t="str">
        <f>"0223-37-3300  "</f>
        <v xml:space="preserve">0223-37-3300  </v>
      </c>
      <c r="H225" s="5" t="s">
        <v>33</v>
      </c>
    </row>
    <row r="226" spans="1:8" ht="37.5" x14ac:dyDescent="0.4">
      <c r="A226" s="4">
        <v>225</v>
      </c>
      <c r="B226" s="5" t="s">
        <v>424</v>
      </c>
      <c r="C226" s="5" t="s">
        <v>498</v>
      </c>
      <c r="D226" s="5" t="s">
        <v>499</v>
      </c>
      <c r="E226" s="5" t="str">
        <f>"989-2331"</f>
        <v>989-2331</v>
      </c>
      <c r="F226" s="5" t="str">
        <f>"亘理郡亘理町吉田字松崎70-1"</f>
        <v>亘理郡亘理町吉田字松崎70-1</v>
      </c>
      <c r="G226" s="5" t="str">
        <f>"0223-34-3003  "</f>
        <v xml:space="preserve">0223-34-3003  </v>
      </c>
      <c r="H226" s="5" t="s">
        <v>33</v>
      </c>
    </row>
    <row r="227" spans="1:8" x14ac:dyDescent="0.4">
      <c r="A227" s="4">
        <v>226</v>
      </c>
      <c r="B227" s="5" t="s">
        <v>7</v>
      </c>
      <c r="C227" s="5" t="s">
        <v>52</v>
      </c>
      <c r="D227" s="5" t="s">
        <v>53</v>
      </c>
      <c r="E227" s="5" t="str">
        <f>"989-2351"</f>
        <v>989-2351</v>
      </c>
      <c r="F227" s="5" t="s">
        <v>54</v>
      </c>
      <c r="G227" s="5" t="str">
        <f>"0223-34-3204  "</f>
        <v xml:space="preserve">0223-34-3204  </v>
      </c>
      <c r="H227" s="5" t="s">
        <v>22</v>
      </c>
    </row>
  </sheetData>
  <autoFilter ref="A1:H227">
    <sortState ref="A2:J227">
      <sortCondition ref="F1:F227"/>
    </sortState>
  </autoFilter>
  <phoneticPr fontId="18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T2SiteiiList20240628143825428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dcterms:created xsi:type="dcterms:W3CDTF">2024-06-28T05:38:49Z</dcterms:created>
  <dcterms:modified xsi:type="dcterms:W3CDTF">2024-06-28T06:01:46Z</dcterms:modified>
</cp:coreProperties>
</file>